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BON_PROJECTS\GHG Project Val &amp; Ver (CDM Accreditation)\2021\720 Silivri wind\Other Project Docs\ER Calculations\"/>
    </mc:Choice>
  </mc:AlternateContent>
  <bookViews>
    <workbookView xWindow="0" yWindow="0" windowWidth="23040" windowHeight="9384"/>
  </bookViews>
  <sheets>
    <sheet name="Baseline Emissions" sheetId="1" r:id="rId1"/>
    <sheet name="Comp.of Baseline Emissions" sheetId="2" r:id="rId2"/>
    <sheet name="Monitoring Indicators" sheetId="3" r:id="rId3"/>
  </sheets>
  <definedNames>
    <definedName name="_xlnm._FilterDatabase" localSheetId="0" hidden="1">'Baseline Emissions'!#REF!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2" l="1"/>
  <c r="H13" i="2"/>
  <c r="H14" i="2"/>
  <c r="G14" i="2"/>
  <c r="G12" i="2"/>
  <c r="F14" i="2"/>
  <c r="F13" i="2"/>
  <c r="F12" i="2"/>
  <c r="G7" i="2"/>
  <c r="H7" i="2" s="1"/>
  <c r="H15" i="2"/>
  <c r="E13" i="2"/>
  <c r="E15" i="2" s="1"/>
  <c r="F15" i="2"/>
  <c r="E7" i="2"/>
  <c r="F7" i="2"/>
  <c r="E14" i="2"/>
  <c r="D15" i="2"/>
  <c r="G22" i="3"/>
  <c r="B22" i="3"/>
  <c r="D22" i="3"/>
  <c r="F22" i="3"/>
  <c r="E22" i="3"/>
  <c r="G7" i="3"/>
  <c r="G28" i="1"/>
  <c r="H31" i="1"/>
  <c r="G31" i="1"/>
  <c r="F31" i="1"/>
  <c r="D31" i="1"/>
  <c r="C31" i="1"/>
  <c r="B31" i="1"/>
  <c r="F30" i="1"/>
  <c r="G30" i="1"/>
  <c r="G29" i="1" l="1"/>
  <c r="H29" i="1"/>
  <c r="H28" i="1"/>
  <c r="F29" i="1"/>
  <c r="F28" i="1"/>
  <c r="H30" i="1"/>
  <c r="D30" i="1"/>
  <c r="D29" i="1"/>
  <c r="D28" i="1"/>
  <c r="C30" i="1"/>
  <c r="B30" i="1"/>
  <c r="B28" i="1"/>
  <c r="D7" i="2"/>
  <c r="D26" i="1"/>
  <c r="F26" i="1" s="1"/>
  <c r="D27" i="1"/>
  <c r="F27" i="1" s="1"/>
  <c r="D5" i="1"/>
  <c r="F5" i="1" s="1"/>
  <c r="Q11" i="1"/>
  <c r="C8" i="3" l="1"/>
  <c r="E8" i="3" s="1"/>
  <c r="C7" i="3"/>
  <c r="E7" i="3" s="1"/>
  <c r="Q7" i="1" l="1"/>
  <c r="Q6" i="1"/>
  <c r="Q5" i="1"/>
  <c r="D25" i="1" l="1"/>
  <c r="F25" i="1" s="1"/>
  <c r="F6" i="2"/>
  <c r="F5" i="2" l="1"/>
  <c r="F4" i="2"/>
  <c r="C29" i="1"/>
  <c r="B29" i="1"/>
  <c r="C28" i="1"/>
  <c r="D24" i="1"/>
  <c r="F24" i="1" s="1"/>
  <c r="D23" i="1"/>
  <c r="F23" i="1" s="1"/>
  <c r="D22" i="1"/>
  <c r="F22" i="1" s="1"/>
  <c r="D21" i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4" i="1"/>
  <c r="F4" i="1" s="1"/>
  <c r="F21" i="1" l="1"/>
  <c r="E6" i="2" l="1"/>
  <c r="G6" i="2" s="1"/>
  <c r="H6" i="2" s="1"/>
  <c r="E5" i="2"/>
  <c r="G5" i="2" s="1"/>
  <c r="H5" i="2" s="1"/>
  <c r="G15" i="2" l="1"/>
  <c r="E12" i="2"/>
  <c r="F7" i="3" l="1"/>
  <c r="E4" i="2"/>
  <c r="H12" i="2" l="1"/>
  <c r="G4" i="2"/>
  <c r="G8" i="3"/>
  <c r="H4" i="2" l="1"/>
</calcChain>
</file>

<file path=xl/comments1.xml><?xml version="1.0" encoding="utf-8"?>
<comments xmlns="http://schemas.openxmlformats.org/spreadsheetml/2006/main">
  <authors>
    <author>Sila Kilic</author>
  </authors>
  <commentList>
    <comment ref="F22" authorId="0" shapeId="0">
      <text>
        <r>
          <rPr>
            <b/>
            <sz val="9"/>
            <color indexed="81"/>
            <rFont val="Tahoma"/>
            <family val="2"/>
            <charset val="162"/>
          </rPr>
          <t>Sila Kilic:</t>
        </r>
        <r>
          <rPr>
            <sz val="9"/>
            <color indexed="81"/>
            <rFont val="Tahoma"/>
            <family val="2"/>
            <charset val="162"/>
          </rPr>
          <t xml:space="preserve">
This value should be considered for the </t>
        </r>
        <r>
          <rPr>
            <i/>
            <sz val="9"/>
            <color indexed="81"/>
            <rFont val="Tahoma"/>
            <family val="2"/>
            <charset val="162"/>
          </rPr>
          <t>Value(s) of monitored parameter</t>
        </r>
      </text>
    </comment>
  </commentList>
</comments>
</file>

<file path=xl/sharedStrings.xml><?xml version="1.0" encoding="utf-8"?>
<sst xmlns="http://schemas.openxmlformats.org/spreadsheetml/2006/main" count="123" uniqueCount="65">
  <si>
    <t>(A)
Electricity
supplied to
the grid
[MWh]</t>
  </si>
  <si>
    <t>Month</t>
  </si>
  <si>
    <t>(B)
Electricity
consumption
from the grid
[MWh]</t>
  </si>
  <si>
    <t>(C) = (A) - (B)
EG (ID 8)
Net electricity
supplied to the grid
[MWh]</t>
  </si>
  <si>
    <t>Total</t>
  </si>
  <si>
    <t>Vintage</t>
  </si>
  <si>
    <t>Period</t>
  </si>
  <si>
    <t>Total Days</t>
  </si>
  <si>
    <t>Amount achieved during this monitoring period (tCO2e)</t>
  </si>
  <si>
    <t>Amount estimated ex ante  (tCO2e)</t>
  </si>
  <si>
    <t>Difference  (tCO2e)</t>
  </si>
  <si>
    <t>Difference (%)</t>
  </si>
  <si>
    <r>
      <t>EF  [tCO</t>
    </r>
    <r>
      <rPr>
        <b/>
        <vertAlign val="subscript"/>
        <sz val="10.5"/>
        <rFont val="Arial"/>
        <family val="2"/>
      </rPr>
      <t>2</t>
    </r>
    <r>
      <rPr>
        <b/>
        <sz val="10.5"/>
        <rFont val="Arial"/>
        <family val="2"/>
      </rPr>
      <t>/MWh]</t>
    </r>
  </si>
  <si>
    <r>
      <t>Baseline
emission:
ER = EG * EF
[t CO</t>
    </r>
    <r>
      <rPr>
        <b/>
        <vertAlign val="subscript"/>
        <sz val="10.5"/>
        <rFont val="Arial"/>
        <family val="2"/>
      </rPr>
      <t>2</t>
    </r>
    <r>
      <rPr>
        <b/>
        <sz val="10.5"/>
        <rFont val="Arial"/>
        <family val="2"/>
      </rPr>
      <t>-eq]</t>
    </r>
  </si>
  <si>
    <t>2020 Vintage
(01.01.2020-31.12.2020)</t>
  </si>
  <si>
    <t>2019 Vintage
(01.08.2019-31.12.2019)</t>
  </si>
  <si>
    <t>01.08.2019 - 31.12.2019</t>
  </si>
  <si>
    <t>Added Units w/Capacity Increase</t>
  </si>
  <si>
    <t>T22</t>
  </si>
  <si>
    <t>T23</t>
  </si>
  <si>
    <t>T19</t>
  </si>
  <si>
    <t>T20</t>
  </si>
  <si>
    <t>Months (01 Aug 2019-31 May 2021)</t>
  </si>
  <si>
    <t>T11</t>
  </si>
  <si>
    <t xml:space="preserve">Adjusted
net electricity
supplied to the grid
[MWh]
(E) = (D) - (B)
</t>
  </si>
  <si>
    <r>
      <t>Adjusted baseline
emission:
ER = EG * EF
[t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-eq]</t>
    </r>
  </si>
  <si>
    <t>Generation from 
Scada (MWh)</t>
  </si>
  <si>
    <t>-</t>
  </si>
  <si>
    <t>MONITORING PLAN, TABLE NO: 1</t>
  </si>
  <si>
    <t>Calculation of Reduction of CO and NMVOC Emission Amounts for Air Quality Indicator of Sustainable Development Matrix</t>
  </si>
  <si>
    <t>Emissions</t>
  </si>
  <si>
    <t>Emission Amount due to Electricity Generation in 2012* (tons)</t>
  </si>
  <si>
    <t>Net Electricity Generation in 2012** (GWh)</t>
  </si>
  <si>
    <t>Emission per GWh (tons/GWh)</t>
  </si>
  <si>
    <t>Net Electricity Generation of Project Activity (GWh/y)</t>
  </si>
  <si>
    <t>Avoided Emission Amount by Project Activity During Monitoring Period (tons)</t>
  </si>
  <si>
    <t>CO</t>
  </si>
  <si>
    <t>NMVOC</t>
  </si>
  <si>
    <t>* For CO:</t>
  </si>
  <si>
    <t>(Table 7-cell H9)</t>
  </si>
  <si>
    <t xml:space="preserve">  For NMVOC</t>
  </si>
  <si>
    <t>(Table 8-cell H9)</t>
  </si>
  <si>
    <t>** From C29 cell of 'OM' sheet in CM_Silivri excel</t>
  </si>
  <si>
    <t>GS PASSPORT - MONITORING PLAN, TABLE NO: 2</t>
  </si>
  <si>
    <t>Calculation of Avoidance of  Wastewater Discharge Amount for Water Quality and Quantity Indicator of Sustainable Development Matrix</t>
  </si>
  <si>
    <t xml:space="preserve">Total Waste Water Discharged by Thermal Power Plants in 2012 (1) (m3) </t>
  </si>
  <si>
    <t>Total Electricty Generation in 2012 (GWh)  (2)</t>
  </si>
  <si>
    <t>Average Amount of Waste Water Discharged per each GWh Electricity Generation in 2016** (m3/GWh)</t>
  </si>
  <si>
    <t>Net Electricity Generation of Project Activity (GWh)</t>
  </si>
  <si>
    <t>Amount of Avoided Wastewater DischargeDuring Monitoring Period (m3)</t>
  </si>
  <si>
    <t>Amount of Avoided Wastewater Discharge Annually  (m3/yr)</t>
  </si>
  <si>
    <t>(1) For Wastewater discharged:</t>
  </si>
  <si>
    <t xml:space="preserve">(2) For Total Electricty Generation </t>
  </si>
  <si>
    <t>Difference  (MWh)</t>
  </si>
  <si>
    <t>Amount estimated ex ante  (MWh)</t>
  </si>
  <si>
    <t>Amount achieved during this monitoring period (MWh)</t>
  </si>
  <si>
    <t>Months (01 June 2021-31 July 2021)</t>
  </si>
  <si>
    <t>01.01.2020 - 31.12.2020</t>
  </si>
  <si>
    <t>Estimated amount of electricity generation during  monitoring period in the PDD (MWh/yr)</t>
  </si>
  <si>
    <t>Estimated amount of annual average GHG emission reductions during monitoring period in the PDD (tCO2/yr)</t>
  </si>
  <si>
    <t>01.01.2021 - 31.07.2021</t>
  </si>
  <si>
    <t>2021 Vintage
(01.01.2021-31.07.2021)</t>
  </si>
  <si>
    <t>Please see the registered PDD.</t>
  </si>
  <si>
    <t>https://www.teias.gov.tr</t>
  </si>
  <si>
    <t>(Please see the statistics section of the wepbage)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</si>
</sst>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[$-F800]dddd\,\ mmmm\ dd\,\ yyyy"/>
    <numFmt numFmtId="165" formatCode="[$-409]mmm\-yy;@"/>
    <numFmt numFmtId="166" formatCode="_-* #,##0_-;\-* #,##0_-;_-* &quot;-&quot;??_-;_-@_-"/>
    <numFmt numFmtId="167" formatCode="#,##0.0"/>
    <numFmt numFmtId="168" formatCode="0.000"/>
    <numFmt numFmtId="169" formatCode="0.0"/>
    <numFmt numFmtId="170" formatCode="#,##0.0000"/>
    <numFmt numFmtId="171" formatCode="0.0%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62"/>
    </font>
    <font>
      <sz val="8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name val="Arial"/>
      <family val="2"/>
    </font>
    <font>
      <b/>
      <vertAlign val="subscript"/>
      <sz val="10.5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Arial"/>
      <family val="2"/>
    </font>
    <font>
      <b/>
      <vertAlign val="subscript"/>
      <sz val="11"/>
      <name val="Arial"/>
      <family val="2"/>
    </font>
    <font>
      <sz val="10.5"/>
      <color theme="1"/>
      <name val="Arial"/>
      <family val="2"/>
      <charset val="162"/>
    </font>
    <font>
      <u/>
      <sz val="11"/>
      <color theme="10"/>
      <name val="Calibri"/>
      <family val="2"/>
      <scheme val="minor"/>
    </font>
    <font>
      <b/>
      <u/>
      <sz val="10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b/>
      <sz val="10"/>
      <name val="Arial Tur"/>
      <charset val="162"/>
    </font>
    <font>
      <b/>
      <u/>
      <sz val="10"/>
      <name val="Arial "/>
      <charset val="162"/>
    </font>
    <font>
      <sz val="10"/>
      <color theme="1"/>
      <name val="Arial "/>
      <charset val="162"/>
    </font>
    <font>
      <b/>
      <sz val="10"/>
      <name val="Arial "/>
      <charset val="162"/>
    </font>
    <font>
      <b/>
      <sz val="9"/>
      <color indexed="81"/>
      <name val="Tahoma"/>
      <family val="2"/>
      <charset val="162"/>
    </font>
    <font>
      <sz val="9"/>
      <color indexed="81"/>
      <name val="Tahoma"/>
      <family val="2"/>
      <charset val="162"/>
    </font>
    <font>
      <i/>
      <sz val="9"/>
      <color indexed="81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2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67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9" fillId="2" borderId="1" xfId="2" applyFont="1" applyFill="1" applyBorder="1" applyAlignment="1">
      <alignment horizontal="center" vertical="center" wrapText="1"/>
    </xf>
    <xf numFmtId="43" fontId="9" fillId="2" borderId="1" xfId="2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9" fontId="7" fillId="0" borderId="1" xfId="4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1" fillId="2" borderId="1" xfId="2" applyFont="1" applyFill="1" applyBorder="1" applyAlignment="1">
      <alignment horizontal="center" vertical="center" wrapText="1"/>
    </xf>
    <xf numFmtId="166" fontId="1" fillId="0" borderId="1" xfId="5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166" fontId="1" fillId="0" borderId="1" xfId="5" applyNumberFormat="1" applyFont="1" applyBorder="1"/>
    <xf numFmtId="4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6" fontId="0" fillId="0" borderId="1" xfId="5" applyNumberFormat="1" applyFont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5" fillId="0" borderId="0" xfId="0" applyFont="1"/>
    <xf numFmtId="0" fontId="19" fillId="0" borderId="0" xfId="0" applyFont="1"/>
    <xf numFmtId="4" fontId="20" fillId="0" borderId="1" xfId="0" applyNumberFormat="1" applyFont="1" applyBorder="1" applyAlignment="1">
      <alignment horizontal="center" vertical="center" wrapText="1"/>
    </xf>
    <xf numFmtId="167" fontId="0" fillId="0" borderId="1" xfId="0" applyNumberFormat="1" applyBorder="1"/>
    <xf numFmtId="168" fontId="0" fillId="0" borderId="1" xfId="0" applyNumberFormat="1" applyBorder="1"/>
    <xf numFmtId="4" fontId="0" fillId="0" borderId="1" xfId="0" applyNumberFormat="1" applyBorder="1"/>
    <xf numFmtId="167" fontId="0" fillId="0" borderId="0" xfId="0" applyNumberFormat="1" applyAlignment="1">
      <alignment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4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horizontal="center"/>
    </xf>
    <xf numFmtId="43" fontId="0" fillId="0" borderId="0" xfId="5" applyFont="1"/>
    <xf numFmtId="0" fontId="16" fillId="0" borderId="0" xfId="6"/>
    <xf numFmtId="0" fontId="11" fillId="2" borderId="1" xfId="2" applyFont="1" applyFill="1" applyBorder="1" applyAlignment="1">
      <alignment horizontal="center" vertical="center" wrapText="1"/>
    </xf>
    <xf numFmtId="43" fontId="15" fillId="0" borderId="1" xfId="0" applyNumberFormat="1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right" vertical="center"/>
    </xf>
    <xf numFmtId="0" fontId="9" fillId="2" borderId="2" xfId="2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170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Fill="1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10" fontId="8" fillId="0" borderId="1" xfId="4" applyNumberFormat="1" applyFont="1" applyBorder="1" applyAlignment="1">
      <alignment horizontal="center" vertical="center"/>
    </xf>
    <xf numFmtId="10" fontId="7" fillId="0" borderId="1" xfId="4" applyNumberFormat="1" applyFont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171" fontId="7" fillId="0" borderId="1" xfId="4" applyNumberFormat="1" applyFont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6" fillId="0" borderId="0" xfId="6" applyAlignment="1">
      <alignment horizontal="left"/>
    </xf>
    <xf numFmtId="167" fontId="0" fillId="0" borderId="5" xfId="0" applyNumberFormat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</cellXfs>
  <cellStyles count="7">
    <cellStyle name="Köprü" xfId="6" builtinId="8"/>
    <cellStyle name="Normal" xfId="0" builtinId="0"/>
    <cellStyle name="Normal 2" xfId="3"/>
    <cellStyle name="Normal 81" xfId="1"/>
    <cellStyle name="Normal_Sheet1" xfId="2"/>
    <cellStyle name="Virgül" xfId="5" builtinId="3"/>
    <cellStyle name="Yüzd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uik.gov.tr/PreHaberBultenleri.do?id=16174" TargetMode="External"/><Relationship Id="rId2" Type="http://schemas.openxmlformats.org/officeDocument/2006/relationships/hyperlink" Target="https://www.teias.gov.tr/" TargetMode="External"/><Relationship Id="rId1" Type="http://schemas.openxmlformats.org/officeDocument/2006/relationships/hyperlink" Target="http://www.tuik.gov.tr/PreHaberBultenleri.do?id=16174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hyperlink" Target="http://www.tuik.gov.tr/PreHaberBultenleri.do?id=16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showGridLines="0" tabSelected="1" topLeftCell="A13" zoomScaleNormal="100" workbookViewId="0">
      <selection activeCell="K29" sqref="K29"/>
    </sheetView>
  </sheetViews>
  <sheetFormatPr defaultColWidth="8.88671875" defaultRowHeight="14.4"/>
  <cols>
    <col min="1" max="1" width="14.6640625" style="12" customWidth="1"/>
    <col min="2" max="2" width="16.109375" style="12" customWidth="1"/>
    <col min="3" max="3" width="13.6640625" style="13" bestFit="1" customWidth="1"/>
    <col min="4" max="4" width="15.5546875" style="12" bestFit="1" customWidth="1"/>
    <col min="5" max="5" width="12.109375" style="12" bestFit="1" customWidth="1"/>
    <col min="6" max="6" width="13.5546875" style="12" bestFit="1" customWidth="1"/>
    <col min="7" max="7" width="18.88671875" style="12" customWidth="1"/>
    <col min="8" max="8" width="19.109375" style="12" customWidth="1"/>
    <col min="9" max="9" width="8.88671875" style="12"/>
    <col min="10" max="10" width="9.5546875" style="12" bestFit="1" customWidth="1"/>
    <col min="11" max="11" width="33" style="12" customWidth="1"/>
    <col min="12" max="12" width="17.109375" style="12" customWidth="1"/>
    <col min="13" max="13" width="16.109375" style="12" customWidth="1"/>
    <col min="14" max="14" width="11.44140625" style="12" customWidth="1"/>
    <col min="15" max="15" width="11.6640625" style="12" customWidth="1"/>
    <col min="16" max="16" width="13.44140625" style="12" customWidth="1"/>
    <col min="17" max="17" width="10.5546875" style="12" bestFit="1" customWidth="1"/>
    <col min="18" max="16384" width="8.88671875" style="12"/>
  </cols>
  <sheetData>
    <row r="2" spans="1:17" ht="36" customHeight="1">
      <c r="K2" s="60" t="s">
        <v>17</v>
      </c>
      <c r="L2" s="60"/>
      <c r="M2" s="60"/>
      <c r="N2" s="60"/>
      <c r="O2" s="60"/>
      <c r="P2" s="60"/>
      <c r="Q2" s="60"/>
    </row>
    <row r="3" spans="1:17" ht="103.5" customHeight="1">
      <c r="A3" s="5" t="s">
        <v>1</v>
      </c>
      <c r="B3" s="5" t="s">
        <v>0</v>
      </c>
      <c r="C3" s="6" t="s">
        <v>2</v>
      </c>
      <c r="D3" s="5" t="s">
        <v>3</v>
      </c>
      <c r="E3" s="5" t="s">
        <v>12</v>
      </c>
      <c r="F3" s="48" t="s">
        <v>13</v>
      </c>
      <c r="G3" s="49" t="s">
        <v>24</v>
      </c>
      <c r="H3" s="49" t="s">
        <v>25</v>
      </c>
      <c r="J3" s="13"/>
      <c r="K3" s="18" t="s">
        <v>22</v>
      </c>
      <c r="L3" s="60" t="s">
        <v>26</v>
      </c>
      <c r="M3" s="60"/>
      <c r="N3" s="60"/>
      <c r="O3" s="60"/>
      <c r="P3" s="60"/>
      <c r="Q3" s="60"/>
    </row>
    <row r="4" spans="1:17" ht="15" customHeight="1">
      <c r="A4" s="14">
        <v>43678</v>
      </c>
      <c r="B4" s="16">
        <v>25312.813999999998</v>
      </c>
      <c r="C4" s="16">
        <v>2.9369999999999998</v>
      </c>
      <c r="D4" s="16">
        <f>B4-C4</f>
        <v>25309.876999999997</v>
      </c>
      <c r="E4" s="50">
        <v>0.56120000000000003</v>
      </c>
      <c r="F4" s="9">
        <f>D4*E4</f>
        <v>14203.902972399999</v>
      </c>
      <c r="G4" s="22" t="s">
        <v>27</v>
      </c>
      <c r="H4" s="23" t="s">
        <v>27</v>
      </c>
      <c r="J4" s="13"/>
      <c r="K4" s="23"/>
      <c r="L4" s="25" t="s">
        <v>23</v>
      </c>
      <c r="M4" s="25" t="s">
        <v>20</v>
      </c>
      <c r="N4" s="25" t="s">
        <v>21</v>
      </c>
      <c r="O4" s="25" t="s">
        <v>18</v>
      </c>
      <c r="P4" s="25" t="s">
        <v>19</v>
      </c>
      <c r="Q4" s="25" t="s">
        <v>4</v>
      </c>
    </row>
    <row r="5" spans="1:17">
      <c r="A5" s="14">
        <v>43709</v>
      </c>
      <c r="B5" s="16">
        <v>20578.721000000001</v>
      </c>
      <c r="C5" s="16">
        <v>12.496</v>
      </c>
      <c r="D5" s="16">
        <f>B5-C5</f>
        <v>20566.225000000002</v>
      </c>
      <c r="E5" s="50">
        <v>0.56120000000000003</v>
      </c>
      <c r="F5" s="9">
        <f>D5*E5</f>
        <v>11541.765470000002</v>
      </c>
      <c r="G5" s="22"/>
      <c r="H5" s="23"/>
      <c r="K5" s="17">
        <v>2019</v>
      </c>
      <c r="L5" s="12" t="s">
        <v>27</v>
      </c>
      <c r="M5" s="24">
        <v>2681</v>
      </c>
      <c r="N5" s="19">
        <v>2626</v>
      </c>
      <c r="O5" s="20">
        <v>5360</v>
      </c>
      <c r="P5" s="19">
        <v>5580</v>
      </c>
      <c r="Q5" s="26">
        <f>SUM(L5:P5)</f>
        <v>16247</v>
      </c>
    </row>
    <row r="6" spans="1:17">
      <c r="A6" s="14">
        <v>43739</v>
      </c>
      <c r="B6" s="16">
        <v>15851.055</v>
      </c>
      <c r="C6" s="16">
        <v>15.048</v>
      </c>
      <c r="D6" s="16">
        <f t="shared" ref="D6:D25" si="0">B6-C6</f>
        <v>15836.007</v>
      </c>
      <c r="E6" s="50">
        <v>0.56120000000000003</v>
      </c>
      <c r="F6" s="9">
        <f t="shared" ref="F6:F24" si="1">D6*E6</f>
        <v>8887.1671284000004</v>
      </c>
      <c r="G6" s="22" t="s">
        <v>27</v>
      </c>
      <c r="H6" s="23" t="s">
        <v>27</v>
      </c>
      <c r="K6" s="17">
        <v>2020</v>
      </c>
      <c r="L6" s="19">
        <v>11239</v>
      </c>
      <c r="M6" s="24">
        <v>13873</v>
      </c>
      <c r="N6" s="19">
        <v>14045</v>
      </c>
      <c r="O6" s="20">
        <v>13234</v>
      </c>
      <c r="P6" s="19">
        <v>13607</v>
      </c>
      <c r="Q6" s="26">
        <f>SUM(L6:P6)</f>
        <v>65998</v>
      </c>
    </row>
    <row r="7" spans="1:17">
      <c r="A7" s="14">
        <v>43770</v>
      </c>
      <c r="B7" s="16">
        <v>15930.892</v>
      </c>
      <c r="C7" s="16">
        <v>13.420999999999999</v>
      </c>
      <c r="D7" s="16">
        <f t="shared" si="0"/>
        <v>15917.471</v>
      </c>
      <c r="E7" s="50">
        <v>0.56120000000000003</v>
      </c>
      <c r="F7" s="9">
        <f t="shared" si="1"/>
        <v>8932.8847251999996</v>
      </c>
      <c r="G7" s="22" t="s">
        <v>27</v>
      </c>
      <c r="H7" s="23" t="s">
        <v>27</v>
      </c>
      <c r="K7" s="17">
        <v>2021</v>
      </c>
      <c r="L7" s="21">
        <v>5314</v>
      </c>
      <c r="M7" s="24">
        <v>5933</v>
      </c>
      <c r="N7" s="21">
        <v>5885</v>
      </c>
      <c r="O7" s="20">
        <v>5640</v>
      </c>
      <c r="P7" s="21">
        <v>5842</v>
      </c>
      <c r="Q7" s="26">
        <f>SUM(L7:P7)</f>
        <v>28614</v>
      </c>
    </row>
    <row r="8" spans="1:17">
      <c r="A8" s="14">
        <v>43800</v>
      </c>
      <c r="B8" s="16">
        <v>19719.161</v>
      </c>
      <c r="C8" s="16">
        <v>11.106999999999999</v>
      </c>
      <c r="D8" s="16">
        <f t="shared" si="0"/>
        <v>19708.054</v>
      </c>
      <c r="E8" s="50">
        <v>0.56120000000000003</v>
      </c>
      <c r="F8" s="9">
        <f t="shared" si="1"/>
        <v>11060.159904800001</v>
      </c>
      <c r="G8" s="22" t="s">
        <v>27</v>
      </c>
      <c r="H8" s="23" t="s">
        <v>27</v>
      </c>
    </row>
    <row r="9" spans="1:17">
      <c r="A9" s="14">
        <v>43831</v>
      </c>
      <c r="B9" s="16">
        <v>20755.852999999999</v>
      </c>
      <c r="C9" s="16">
        <v>12.38</v>
      </c>
      <c r="D9" s="16">
        <f t="shared" si="0"/>
        <v>20743.472999999998</v>
      </c>
      <c r="E9" s="50">
        <v>0.56120000000000003</v>
      </c>
      <c r="F9" s="9">
        <f t="shared" si="1"/>
        <v>11641.2370476</v>
      </c>
      <c r="G9" s="22" t="s">
        <v>27</v>
      </c>
      <c r="H9" s="23" t="s">
        <v>27</v>
      </c>
    </row>
    <row r="10" spans="1:17">
      <c r="A10" s="14">
        <v>43862</v>
      </c>
      <c r="B10" s="16">
        <v>16811.896000000001</v>
      </c>
      <c r="C10" s="16">
        <v>9.6910000000000007</v>
      </c>
      <c r="D10" s="16">
        <f t="shared" si="0"/>
        <v>16802.205000000002</v>
      </c>
      <c r="E10" s="50">
        <v>0.56120000000000003</v>
      </c>
      <c r="F10" s="9">
        <f t="shared" si="1"/>
        <v>9429.3974460000009</v>
      </c>
      <c r="G10" s="22" t="s">
        <v>27</v>
      </c>
      <c r="H10" s="23" t="s">
        <v>27</v>
      </c>
    </row>
    <row r="11" spans="1:17">
      <c r="A11" s="14">
        <v>43891</v>
      </c>
      <c r="B11" s="16">
        <v>17697.412</v>
      </c>
      <c r="C11" s="16">
        <v>11.744</v>
      </c>
      <c r="D11" s="16">
        <f t="shared" si="0"/>
        <v>17685.668000000001</v>
      </c>
      <c r="E11" s="50">
        <v>0.56120000000000003</v>
      </c>
      <c r="F11" s="9">
        <f t="shared" si="1"/>
        <v>9925.1968816000008</v>
      </c>
      <c r="G11" s="22" t="s">
        <v>27</v>
      </c>
      <c r="H11" s="23" t="s">
        <v>27</v>
      </c>
      <c r="K11" s="44" t="s">
        <v>56</v>
      </c>
      <c r="L11" s="26">
        <v>1501</v>
      </c>
      <c r="M11" s="26">
        <v>1843</v>
      </c>
      <c r="N11" s="26">
        <v>1877</v>
      </c>
      <c r="O11" s="26">
        <v>1540</v>
      </c>
      <c r="P11" s="26">
        <v>1601</v>
      </c>
      <c r="Q11" s="52">
        <f>SUM(L11:P11)</f>
        <v>8362</v>
      </c>
    </row>
    <row r="12" spans="1:17">
      <c r="A12" s="14">
        <v>43922</v>
      </c>
      <c r="B12" s="16">
        <v>18185.089</v>
      </c>
      <c r="C12" s="16">
        <v>8.66</v>
      </c>
      <c r="D12" s="16">
        <f t="shared" si="0"/>
        <v>18176.429</v>
      </c>
      <c r="E12" s="50">
        <v>0.56120000000000003</v>
      </c>
      <c r="F12" s="9">
        <f t="shared" si="1"/>
        <v>10200.611954800001</v>
      </c>
      <c r="G12" s="22" t="s">
        <v>27</v>
      </c>
      <c r="H12" s="23" t="s">
        <v>27</v>
      </c>
    </row>
    <row r="13" spans="1:17">
      <c r="A13" s="14">
        <v>43952</v>
      </c>
      <c r="B13" s="16">
        <v>12533.091</v>
      </c>
      <c r="C13" s="16">
        <v>15.823</v>
      </c>
      <c r="D13" s="16">
        <f t="shared" si="0"/>
        <v>12517.268</v>
      </c>
      <c r="E13" s="50">
        <v>0.56120000000000003</v>
      </c>
      <c r="F13" s="9">
        <f t="shared" si="1"/>
        <v>7024.6908016000007</v>
      </c>
      <c r="G13" s="22" t="s">
        <v>27</v>
      </c>
      <c r="H13" s="23" t="s">
        <v>27</v>
      </c>
    </row>
    <row r="14" spans="1:17">
      <c r="A14" s="14">
        <v>43983</v>
      </c>
      <c r="B14" s="16">
        <v>7493.6369999999997</v>
      </c>
      <c r="C14" s="16">
        <v>24.518999999999998</v>
      </c>
      <c r="D14" s="16">
        <f t="shared" si="0"/>
        <v>7469.1179999999995</v>
      </c>
      <c r="E14" s="50">
        <v>0.56120000000000003</v>
      </c>
      <c r="F14" s="9">
        <f t="shared" si="1"/>
        <v>4191.6690215999997</v>
      </c>
      <c r="G14" s="22" t="s">
        <v>27</v>
      </c>
      <c r="H14" s="23" t="s">
        <v>27</v>
      </c>
    </row>
    <row r="15" spans="1:17">
      <c r="A15" s="14">
        <v>44013</v>
      </c>
      <c r="B15" s="16">
        <v>24993.486000000001</v>
      </c>
      <c r="C15" s="16">
        <v>0.48799999999999999</v>
      </c>
      <c r="D15" s="16">
        <f t="shared" si="0"/>
        <v>24992.998</v>
      </c>
      <c r="E15" s="50">
        <v>0.56120000000000003</v>
      </c>
      <c r="F15" s="9">
        <f t="shared" si="1"/>
        <v>14026.0704776</v>
      </c>
      <c r="G15" s="22" t="s">
        <v>27</v>
      </c>
      <c r="H15" s="23" t="s">
        <v>27</v>
      </c>
    </row>
    <row r="16" spans="1:17">
      <c r="A16" s="14">
        <v>44044</v>
      </c>
      <c r="B16" s="16">
        <v>24972.121999999999</v>
      </c>
      <c r="C16" s="16">
        <v>4.6150000000000002</v>
      </c>
      <c r="D16" s="16">
        <f t="shared" si="0"/>
        <v>24967.506999999998</v>
      </c>
      <c r="E16" s="50">
        <v>0.56120000000000003</v>
      </c>
      <c r="F16" s="9">
        <f t="shared" si="1"/>
        <v>14011.7649284</v>
      </c>
      <c r="G16" s="22" t="s">
        <v>27</v>
      </c>
      <c r="H16" s="23" t="s">
        <v>27</v>
      </c>
    </row>
    <row r="17" spans="1:8">
      <c r="A17" s="14">
        <v>44075</v>
      </c>
      <c r="B17" s="16">
        <v>24151.517</v>
      </c>
      <c r="C17" s="16">
        <v>8.0589999999999993</v>
      </c>
      <c r="D17" s="16">
        <f t="shared" si="0"/>
        <v>24143.457999999999</v>
      </c>
      <c r="E17" s="50">
        <v>0.56120000000000003</v>
      </c>
      <c r="F17" s="9">
        <f t="shared" si="1"/>
        <v>13549.3086296</v>
      </c>
      <c r="G17" s="22" t="s">
        <v>27</v>
      </c>
      <c r="H17" s="23" t="s">
        <v>27</v>
      </c>
    </row>
    <row r="18" spans="1:8">
      <c r="A18" s="14">
        <v>44105</v>
      </c>
      <c r="B18" s="16">
        <v>11258.74</v>
      </c>
      <c r="C18" s="16">
        <v>24.268000000000001</v>
      </c>
      <c r="D18" s="16">
        <f t="shared" si="0"/>
        <v>11234.472</v>
      </c>
      <c r="E18" s="50">
        <v>0.56120000000000003</v>
      </c>
      <c r="F18" s="9">
        <f t="shared" si="1"/>
        <v>6304.7856864000005</v>
      </c>
      <c r="G18" s="22" t="s">
        <v>27</v>
      </c>
      <c r="H18" s="23" t="s">
        <v>27</v>
      </c>
    </row>
    <row r="19" spans="1:8">
      <c r="A19" s="14">
        <v>44136</v>
      </c>
      <c r="B19" s="16">
        <v>23626.442999999999</v>
      </c>
      <c r="C19" s="16">
        <v>9.3930000000000007</v>
      </c>
      <c r="D19" s="16">
        <f t="shared" si="0"/>
        <v>23617.05</v>
      </c>
      <c r="E19" s="50">
        <v>0.56120000000000003</v>
      </c>
      <c r="F19" s="9">
        <f t="shared" si="1"/>
        <v>13253.88846</v>
      </c>
      <c r="G19" s="22" t="s">
        <v>27</v>
      </c>
      <c r="H19" s="23" t="s">
        <v>27</v>
      </c>
    </row>
    <row r="20" spans="1:8">
      <c r="A20" s="14">
        <v>44166</v>
      </c>
      <c r="B20" s="16">
        <v>21976.844000000001</v>
      </c>
      <c r="C20" s="16">
        <v>1.448</v>
      </c>
      <c r="D20" s="16">
        <f t="shared" si="0"/>
        <v>21975.396000000001</v>
      </c>
      <c r="E20" s="50">
        <v>0.56120000000000003</v>
      </c>
      <c r="F20" s="9">
        <f t="shared" si="1"/>
        <v>12332.592235200002</v>
      </c>
      <c r="G20" s="22" t="s">
        <v>27</v>
      </c>
      <c r="H20" s="23" t="s">
        <v>27</v>
      </c>
    </row>
    <row r="21" spans="1:8">
      <c r="A21" s="14">
        <v>44197</v>
      </c>
      <c r="B21" s="16">
        <v>21976.52</v>
      </c>
      <c r="C21" s="16">
        <v>6.7809999999999997</v>
      </c>
      <c r="D21" s="16">
        <f t="shared" si="0"/>
        <v>21969.739000000001</v>
      </c>
      <c r="E21" s="50">
        <v>0.56120000000000003</v>
      </c>
      <c r="F21" s="9">
        <f t="shared" si="1"/>
        <v>12329.417526800002</v>
      </c>
      <c r="G21" s="22" t="s">
        <v>27</v>
      </c>
      <c r="H21" s="23" t="s">
        <v>27</v>
      </c>
    </row>
    <row r="22" spans="1:8">
      <c r="A22" s="14">
        <v>44228</v>
      </c>
      <c r="B22" s="16">
        <v>19835.8</v>
      </c>
      <c r="C22" s="16">
        <v>15.196999999999999</v>
      </c>
      <c r="D22" s="16">
        <f t="shared" si="0"/>
        <v>19820.602999999999</v>
      </c>
      <c r="E22" s="50">
        <v>0.56120000000000003</v>
      </c>
      <c r="F22" s="9">
        <f t="shared" si="1"/>
        <v>11123.322403600001</v>
      </c>
      <c r="G22" s="22" t="s">
        <v>27</v>
      </c>
      <c r="H22" s="23" t="s">
        <v>27</v>
      </c>
    </row>
    <row r="23" spans="1:8">
      <c r="A23" s="14">
        <v>44256</v>
      </c>
      <c r="B23" s="16">
        <v>19184.3</v>
      </c>
      <c r="C23" s="16">
        <v>10.624000000000001</v>
      </c>
      <c r="D23" s="16">
        <f t="shared" si="0"/>
        <v>19173.675999999999</v>
      </c>
      <c r="E23" s="50">
        <v>0.56120000000000003</v>
      </c>
      <c r="F23" s="9">
        <f t="shared" si="1"/>
        <v>10760.266971200001</v>
      </c>
      <c r="G23" s="22" t="s">
        <v>27</v>
      </c>
      <c r="H23" s="23" t="s">
        <v>27</v>
      </c>
    </row>
    <row r="24" spans="1:8">
      <c r="A24" s="14">
        <v>44287</v>
      </c>
      <c r="B24" s="16">
        <v>15910.976000000001</v>
      </c>
      <c r="C24" s="16">
        <v>11.500999999999999</v>
      </c>
      <c r="D24" s="16">
        <f t="shared" si="0"/>
        <v>15899.475</v>
      </c>
      <c r="E24" s="50">
        <v>0.56120000000000003</v>
      </c>
      <c r="F24" s="9">
        <f t="shared" si="1"/>
        <v>8922.7853700000014</v>
      </c>
      <c r="G24" s="22" t="s">
        <v>27</v>
      </c>
      <c r="H24" s="23" t="s">
        <v>27</v>
      </c>
    </row>
    <row r="25" spans="1:8">
      <c r="A25" s="14">
        <v>44317</v>
      </c>
      <c r="B25" s="16">
        <v>17333.045999999998</v>
      </c>
      <c r="C25" s="16">
        <v>15.66</v>
      </c>
      <c r="D25" s="16">
        <f t="shared" si="0"/>
        <v>17317.385999999999</v>
      </c>
      <c r="E25" s="50">
        <v>0.56120000000000003</v>
      </c>
      <c r="F25" s="9">
        <f>D25*E25</f>
        <v>9718.5170232</v>
      </c>
      <c r="G25" s="22" t="s">
        <v>27</v>
      </c>
      <c r="H25" s="23" t="s">
        <v>27</v>
      </c>
    </row>
    <row r="26" spans="1:8">
      <c r="A26" s="14">
        <v>44348</v>
      </c>
      <c r="B26" s="16">
        <v>6458.9979999999996</v>
      </c>
      <c r="C26" s="16">
        <v>24.672999999999998</v>
      </c>
      <c r="D26" s="16">
        <f t="shared" ref="D26:D27" si="2">B26-C26</f>
        <v>6434.3249999999998</v>
      </c>
      <c r="E26" s="50">
        <v>0.56120000000000003</v>
      </c>
      <c r="F26" s="9">
        <f t="shared" ref="F26:F27" si="3">D26*E26</f>
        <v>3610.94319</v>
      </c>
      <c r="G26" s="22" t="s">
        <v>27</v>
      </c>
      <c r="H26" s="23" t="s">
        <v>27</v>
      </c>
    </row>
    <row r="27" spans="1:8">
      <c r="A27" s="14">
        <v>44378</v>
      </c>
      <c r="B27" s="16">
        <v>20156.73</v>
      </c>
      <c r="C27" s="16">
        <v>6.468</v>
      </c>
      <c r="D27" s="16">
        <f t="shared" si="2"/>
        <v>20150.261999999999</v>
      </c>
      <c r="E27" s="50">
        <v>0.56120000000000003</v>
      </c>
      <c r="F27" s="9">
        <f t="shared" si="3"/>
        <v>11308.327034399999</v>
      </c>
      <c r="G27" s="22" t="s">
        <v>27</v>
      </c>
      <c r="H27" s="23" t="s">
        <v>27</v>
      </c>
    </row>
    <row r="28" spans="1:8" ht="41.4">
      <c r="A28" s="15" t="s">
        <v>15</v>
      </c>
      <c r="B28" s="16">
        <f>SUM(B4:B8)</f>
        <v>97392.643000000011</v>
      </c>
      <c r="C28" s="16">
        <f>SUM(C4:C8)</f>
        <v>55.009</v>
      </c>
      <c r="D28" s="16">
        <f>SUM(D4:D8)</f>
        <v>97337.634000000005</v>
      </c>
      <c r="E28" s="50">
        <v>0.56120000000000003</v>
      </c>
      <c r="F28" s="9">
        <f>SUM(F4:F8)</f>
        <v>54625.880200799998</v>
      </c>
      <c r="G28" s="45">
        <f>D28-Q5</f>
        <v>81090.634000000005</v>
      </c>
      <c r="H28" s="46">
        <f>ROUNDDOWN((E28*G28),0)</f>
        <v>45508</v>
      </c>
    </row>
    <row r="29" spans="1:8" ht="41.4">
      <c r="A29" s="15" t="s">
        <v>14</v>
      </c>
      <c r="B29" s="16">
        <f>SUM(B9:B20)</f>
        <v>224456.13</v>
      </c>
      <c r="C29" s="16">
        <f>SUM(C9:C20)</f>
        <v>131.08799999999999</v>
      </c>
      <c r="D29" s="16">
        <f>SUM(D9:D20)</f>
        <v>224325.04200000002</v>
      </c>
      <c r="E29" s="50">
        <v>0.56120000000000003</v>
      </c>
      <c r="F29" s="9">
        <f>SUM(F9:F20)</f>
        <v>125891.21357040002</v>
      </c>
      <c r="G29" s="45">
        <f>D29-Q6</f>
        <v>158327.04200000002</v>
      </c>
      <c r="H29" s="46">
        <f>ROUNDDOWN((E29*G29),0)</f>
        <v>88853</v>
      </c>
    </row>
    <row r="30" spans="1:8" ht="41.4">
      <c r="A30" s="15" t="s">
        <v>61</v>
      </c>
      <c r="B30" s="16">
        <f>SUM(B21:B27)</f>
        <v>120856.36999999998</v>
      </c>
      <c r="C30" s="16">
        <f>SUM(C21:C27)</f>
        <v>90.903999999999996</v>
      </c>
      <c r="D30" s="16">
        <f>SUM(D21:D27)</f>
        <v>120765.466</v>
      </c>
      <c r="E30" s="50">
        <v>0.56120000000000003</v>
      </c>
      <c r="F30" s="9">
        <f>SUM(F21:F27)</f>
        <v>67773.579519200008</v>
      </c>
      <c r="G30" s="45">
        <f>D30-Q7-Q11</f>
        <v>83789.466</v>
      </c>
      <c r="H30" s="46">
        <f>ROUNDDOWN((E30*G30),0)</f>
        <v>47022</v>
      </c>
    </row>
    <row r="31" spans="1:8">
      <c r="A31" s="15" t="s">
        <v>4</v>
      </c>
      <c r="B31" s="16">
        <f>SUM(B28:B30)</f>
        <v>442705.14300000004</v>
      </c>
      <c r="C31" s="16">
        <f>SUM(C28:C30)</f>
        <v>277.00099999999998</v>
      </c>
      <c r="D31" s="16">
        <f>SUM(D28:D30)</f>
        <v>442428.14200000005</v>
      </c>
      <c r="E31" s="50">
        <v>0.56120000000000003</v>
      </c>
      <c r="F31" s="9">
        <f>SUM(F28:F30)</f>
        <v>248290.67329040001</v>
      </c>
      <c r="G31" s="16">
        <f>SUM(G28:G30)</f>
        <v>323207.14200000005</v>
      </c>
      <c r="H31" s="47">
        <f>SUM(H28:H30)</f>
        <v>181383</v>
      </c>
    </row>
  </sheetData>
  <mergeCells count="2">
    <mergeCell ref="K2:Q2"/>
    <mergeCell ref="L3:Q3"/>
  </mergeCells>
  <phoneticPr fontId="6" type="noConversion"/>
  <pageMargins left="0.7" right="0.7" top="0.75" bottom="0.75" header="0.3" footer="0.3"/>
  <pageSetup paperSize="9" orientation="portrait" r:id="rId1"/>
  <ignoredErrors>
    <ignoredError sqref="Q5:Q7 C28 B29:C29 B28 E29 E28 E30 B30:C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"/>
  <sheetViews>
    <sheetView showGridLines="0" topLeftCell="A4" workbookViewId="0">
      <selection activeCell="H6" sqref="H6"/>
    </sheetView>
  </sheetViews>
  <sheetFormatPr defaultColWidth="8.88671875" defaultRowHeight="13.8"/>
  <cols>
    <col min="1" max="1" width="8.88671875" style="7"/>
    <col min="2" max="2" width="8.44140625" style="7" bestFit="1" customWidth="1"/>
    <col min="3" max="3" width="23.109375" style="7" bestFit="1" customWidth="1"/>
    <col min="4" max="4" width="11.33203125" style="7" bestFit="1" customWidth="1"/>
    <col min="5" max="5" width="15.33203125" style="7" bestFit="1" customWidth="1"/>
    <col min="6" max="6" width="15.33203125" style="7" customWidth="1"/>
    <col min="7" max="7" width="13" style="7" customWidth="1"/>
    <col min="8" max="8" width="12.6640625" style="7" customWidth="1"/>
    <col min="9" max="12" width="8.88671875" style="7"/>
    <col min="13" max="13" width="24.5546875" style="7" customWidth="1"/>
    <col min="14" max="16384" width="8.88671875" style="7"/>
  </cols>
  <sheetData>
    <row r="1" spans="2:14" ht="75" customHeight="1">
      <c r="L1" s="61" t="s">
        <v>59</v>
      </c>
      <c r="M1" s="62"/>
      <c r="N1" s="51">
        <v>80442</v>
      </c>
    </row>
    <row r="3" spans="2:14" ht="69">
      <c r="B3" s="2" t="s">
        <v>5</v>
      </c>
      <c r="C3" s="2" t="s">
        <v>6</v>
      </c>
      <c r="D3" s="2" t="s">
        <v>7</v>
      </c>
      <c r="E3" s="3" t="s">
        <v>8</v>
      </c>
      <c r="F3" s="3" t="s">
        <v>9</v>
      </c>
      <c r="G3" s="3" t="s">
        <v>10</v>
      </c>
      <c r="H3" s="3" t="s">
        <v>11</v>
      </c>
    </row>
    <row r="4" spans="2:14">
      <c r="B4" s="1">
        <v>2019</v>
      </c>
      <c r="C4" s="1" t="s">
        <v>16</v>
      </c>
      <c r="D4" s="8">
        <v>153</v>
      </c>
      <c r="E4" s="9">
        <f>'Baseline Emissions'!H28</f>
        <v>45508</v>
      </c>
      <c r="F4" s="9">
        <f>N1/365*D4</f>
        <v>33719.523287671233</v>
      </c>
      <c r="G4" s="9">
        <f>E4-F4</f>
        <v>11788.476712328767</v>
      </c>
      <c r="H4" s="10">
        <f>G4/F4</f>
        <v>0.34960389599098968</v>
      </c>
    </row>
    <row r="5" spans="2:14">
      <c r="B5" s="1">
        <v>2020</v>
      </c>
      <c r="C5" s="1" t="s">
        <v>57</v>
      </c>
      <c r="D5" s="8">
        <v>366</v>
      </c>
      <c r="E5" s="9">
        <f>'Baseline Emissions'!H29</f>
        <v>88853</v>
      </c>
      <c r="F5" s="9">
        <f>N1</f>
        <v>80442</v>
      </c>
      <c r="G5" s="9">
        <f>E5-F5</f>
        <v>8411</v>
      </c>
      <c r="H5" s="54">
        <f>G5/F5</f>
        <v>0.10455980706596056</v>
      </c>
    </row>
    <row r="6" spans="2:14">
      <c r="B6" s="1">
        <v>2021</v>
      </c>
      <c r="C6" s="1" t="s">
        <v>60</v>
      </c>
      <c r="D6" s="8">
        <v>212</v>
      </c>
      <c r="E6" s="9">
        <f>'Baseline Emissions'!H30</f>
        <v>47022</v>
      </c>
      <c r="F6" s="9">
        <f>N1/365*D6</f>
        <v>46722.476712328767</v>
      </c>
      <c r="G6" s="9">
        <f>E6-F6</f>
        <v>299.52328767123254</v>
      </c>
      <c r="H6" s="57">
        <f>G6/F6</f>
        <v>6.4106894314572291E-3</v>
      </c>
    </row>
    <row r="7" spans="2:14">
      <c r="B7" s="4" t="s">
        <v>4</v>
      </c>
      <c r="C7" s="4"/>
      <c r="D7" s="11">
        <f>SUM(D4:D6)</f>
        <v>731</v>
      </c>
      <c r="E7" s="11">
        <f>SUM(E4:E6)</f>
        <v>181383</v>
      </c>
      <c r="F7" s="11">
        <f>SUM(F4:F6)</f>
        <v>160884</v>
      </c>
      <c r="G7" s="11">
        <f>SUM(G4:G6)</f>
        <v>20499</v>
      </c>
      <c r="H7" s="53">
        <f>G7/F7</f>
        <v>0.12741478332214515</v>
      </c>
    </row>
    <row r="11" spans="2:14" ht="69">
      <c r="B11" s="2" t="s">
        <v>5</v>
      </c>
      <c r="C11" s="2" t="s">
        <v>6</v>
      </c>
      <c r="D11" s="2" t="s">
        <v>7</v>
      </c>
      <c r="E11" s="3" t="s">
        <v>55</v>
      </c>
      <c r="F11" s="3" t="s">
        <v>54</v>
      </c>
      <c r="G11" s="3" t="s">
        <v>53</v>
      </c>
      <c r="H11" s="3" t="s">
        <v>11</v>
      </c>
      <c r="L11" s="61" t="s">
        <v>58</v>
      </c>
      <c r="M11" s="62"/>
      <c r="N11" s="51">
        <v>143327</v>
      </c>
    </row>
    <row r="12" spans="2:14">
      <c r="B12" s="1">
        <v>2019</v>
      </c>
      <c r="C12" s="1" t="s">
        <v>16</v>
      </c>
      <c r="D12" s="8">
        <v>153</v>
      </c>
      <c r="E12" s="56">
        <f>'Baseline Emissions'!G28</f>
        <v>81090.634000000005</v>
      </c>
      <c r="F12" s="56">
        <f>$N$11/365*D12</f>
        <v>60079.536986301369</v>
      </c>
      <c r="G12" s="56">
        <f>E12-F12</f>
        <v>21011.097013698636</v>
      </c>
      <c r="H12" s="10">
        <f>G12/F12</f>
        <v>0.34972135385279918</v>
      </c>
    </row>
    <row r="13" spans="2:14">
      <c r="B13" s="1">
        <v>2020</v>
      </c>
      <c r="C13" s="1" t="s">
        <v>57</v>
      </c>
      <c r="D13" s="8">
        <v>366</v>
      </c>
      <c r="E13" s="56">
        <f>'Baseline Emissions'!G29</f>
        <v>158327.04200000002</v>
      </c>
      <c r="F13" s="56">
        <f>$N$11/365*D13</f>
        <v>143719.67671232877</v>
      </c>
      <c r="G13" s="56">
        <f>E13-F13</f>
        <v>14607.365287671244</v>
      </c>
      <c r="H13" s="54">
        <f>G13/F13</f>
        <v>0.10163789414103361</v>
      </c>
    </row>
    <row r="14" spans="2:14">
      <c r="B14" s="1">
        <v>2021</v>
      </c>
      <c r="C14" s="1" t="s">
        <v>60</v>
      </c>
      <c r="D14" s="8">
        <v>212</v>
      </c>
      <c r="E14" s="56">
        <f>'Baseline Emissions'!G30</f>
        <v>83789.466</v>
      </c>
      <c r="F14" s="56">
        <f>$N$11/365*D14</f>
        <v>83247.463013698623</v>
      </c>
      <c r="G14" s="56">
        <f>E14-F14</f>
        <v>542.00298630137695</v>
      </c>
      <c r="H14" s="57">
        <f>G14/F14</f>
        <v>6.5107447924531792E-3</v>
      </c>
    </row>
    <row r="15" spans="2:14">
      <c r="B15" s="4" t="s">
        <v>4</v>
      </c>
      <c r="C15" s="4"/>
      <c r="D15" s="11">
        <f>SUM(D12:D14)</f>
        <v>731</v>
      </c>
      <c r="E15" s="55">
        <f>SUM(E12:E14)</f>
        <v>323207.14200000005</v>
      </c>
      <c r="F15" s="55">
        <f>SUM(F12:F14)</f>
        <v>287046.67671232874</v>
      </c>
      <c r="G15" s="55">
        <f>SUM(G12:G14)</f>
        <v>36160.465287671257</v>
      </c>
      <c r="H15" s="53">
        <f>G15/F15</f>
        <v>0.12597416455690377</v>
      </c>
    </row>
  </sheetData>
  <mergeCells count="2">
    <mergeCell ref="L1:M1"/>
    <mergeCell ref="L11:M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H27"/>
  <sheetViews>
    <sheetView showGridLines="0" topLeftCell="A10" workbookViewId="0">
      <selection activeCell="D21" sqref="D21"/>
    </sheetView>
  </sheetViews>
  <sheetFormatPr defaultRowHeight="14.4"/>
  <cols>
    <col min="2" max="2" width="18.5546875" customWidth="1"/>
    <col min="3" max="3" width="21.6640625" customWidth="1"/>
    <col min="4" max="4" width="28.109375" customWidth="1"/>
    <col min="5" max="5" width="19.88671875" customWidth="1"/>
    <col min="6" max="6" width="24" customWidth="1"/>
    <col min="7" max="7" width="29.44140625" customWidth="1"/>
    <col min="8" max="8" width="41.33203125" customWidth="1"/>
  </cols>
  <sheetData>
    <row r="2" spans="2:7">
      <c r="B2" s="27" t="s">
        <v>28</v>
      </c>
      <c r="C2" s="28"/>
      <c r="D2" s="28"/>
      <c r="E2" s="28"/>
      <c r="F2" s="28"/>
      <c r="G2" s="28"/>
    </row>
    <row r="3" spans="2:7">
      <c r="B3" s="29"/>
      <c r="C3" s="28"/>
      <c r="D3" s="28"/>
      <c r="E3" s="28"/>
      <c r="F3" s="28"/>
      <c r="G3" s="28"/>
    </row>
    <row r="4" spans="2:7">
      <c r="B4" s="30" t="s">
        <v>29</v>
      </c>
      <c r="C4" s="28"/>
      <c r="D4" s="28"/>
      <c r="E4" s="28"/>
      <c r="F4" s="28"/>
      <c r="G4" s="28"/>
    </row>
    <row r="5" spans="2:7">
      <c r="B5" s="28"/>
      <c r="C5" s="28"/>
      <c r="D5" s="28"/>
      <c r="E5" s="28"/>
      <c r="F5" s="28"/>
      <c r="G5" s="28"/>
    </row>
    <row r="6" spans="2:7" ht="52.8">
      <c r="B6" s="31" t="s">
        <v>30</v>
      </c>
      <c r="C6" s="31" t="s">
        <v>31</v>
      </c>
      <c r="D6" s="31" t="s">
        <v>32</v>
      </c>
      <c r="E6" s="31" t="s">
        <v>33</v>
      </c>
      <c r="F6" s="31" t="s">
        <v>34</v>
      </c>
      <c r="G6" s="31" t="s">
        <v>35</v>
      </c>
    </row>
    <row r="7" spans="2:7">
      <c r="B7" s="17" t="s">
        <v>36</v>
      </c>
      <c r="C7" s="32">
        <f>36.48*1000</f>
        <v>36480</v>
      </c>
      <c r="D7" s="64">
        <v>227707.3</v>
      </c>
      <c r="E7" s="33">
        <f>C7/D7</f>
        <v>0.16020566753898535</v>
      </c>
      <c r="F7" s="64">
        <f>'Baseline Emissions'!G31/1000</f>
        <v>323.20714200000003</v>
      </c>
      <c r="G7" s="34">
        <f>E7*F7</f>
        <v>51.779615937477637</v>
      </c>
    </row>
    <row r="8" spans="2:7">
      <c r="B8" s="17" t="s">
        <v>37</v>
      </c>
      <c r="C8" s="32">
        <f>7.79*1000</f>
        <v>7790</v>
      </c>
      <c r="D8" s="65"/>
      <c r="E8" s="33">
        <f>C8/D7</f>
        <v>3.4210585255720835E-2</v>
      </c>
      <c r="F8" s="65"/>
      <c r="G8" s="34">
        <f>E8*F7</f>
        <v>11.057105486648872</v>
      </c>
    </row>
    <row r="11" spans="2:7">
      <c r="B11" t="s">
        <v>38</v>
      </c>
      <c r="C11" s="63" t="s">
        <v>62</v>
      </c>
      <c r="D11" s="63"/>
      <c r="E11" s="63"/>
      <c r="F11" t="s">
        <v>39</v>
      </c>
    </row>
    <row r="12" spans="2:7">
      <c r="B12" t="s">
        <v>40</v>
      </c>
      <c r="C12" s="63" t="s">
        <v>62</v>
      </c>
      <c r="D12" s="63"/>
      <c r="E12" s="63"/>
      <c r="F12" t="s">
        <v>41</v>
      </c>
    </row>
    <row r="14" spans="2:7">
      <c r="B14" s="66" t="s">
        <v>42</v>
      </c>
      <c r="C14" s="66"/>
      <c r="D14" s="66"/>
    </row>
    <row r="15" spans="2:7">
      <c r="C15" s="35"/>
    </row>
    <row r="17" spans="2:8">
      <c r="B17" s="36" t="s">
        <v>43</v>
      </c>
      <c r="C17" s="37"/>
      <c r="D17" s="37"/>
      <c r="E17" s="37"/>
      <c r="F17" s="37"/>
      <c r="G17" s="37"/>
      <c r="H17" s="37"/>
    </row>
    <row r="18" spans="2:8">
      <c r="B18" s="37"/>
      <c r="C18" s="37"/>
      <c r="D18" s="37"/>
      <c r="E18" s="37"/>
      <c r="F18" s="37"/>
      <c r="G18" s="37"/>
      <c r="H18" s="37"/>
    </row>
    <row r="19" spans="2:8">
      <c r="B19" s="38" t="s">
        <v>44</v>
      </c>
      <c r="C19" s="37"/>
      <c r="D19" s="37"/>
      <c r="E19" s="37"/>
      <c r="F19" s="37"/>
      <c r="G19" s="37"/>
      <c r="H19" s="37"/>
    </row>
    <row r="21" spans="2:8" ht="66">
      <c r="B21" s="31" t="s">
        <v>45</v>
      </c>
      <c r="C21" s="31" t="s">
        <v>46</v>
      </c>
      <c r="D21" s="31" t="s">
        <v>47</v>
      </c>
      <c r="E21" s="31" t="s">
        <v>48</v>
      </c>
      <c r="F21" s="31" t="s">
        <v>49</v>
      </c>
      <c r="G21" s="31" t="s">
        <v>50</v>
      </c>
    </row>
    <row r="22" spans="2:8">
      <c r="B22" s="39">
        <f>6302636.008*1000</f>
        <v>6302636008</v>
      </c>
      <c r="C22" s="40">
        <v>239496.8</v>
      </c>
      <c r="D22" s="59">
        <f>B22/C22</f>
        <v>26316.159581255368</v>
      </c>
      <c r="E22" s="41">
        <f>'Baseline Emissions'!G31/1000</f>
        <v>323.20714200000003</v>
      </c>
      <c r="F22" s="58">
        <f>D22*E22</f>
        <v>8505570.7266734652</v>
      </c>
      <c r="G22" s="59">
        <f>F22/'Comp.of Baseline Emissions'!D15*365</f>
        <v>4246967.5995017989</v>
      </c>
      <c r="H22" s="42"/>
    </row>
    <row r="23" spans="2:8">
      <c r="D23" s="42"/>
      <c r="G23" s="42"/>
    </row>
    <row r="25" spans="2:8">
      <c r="B25" t="s">
        <v>51</v>
      </c>
      <c r="D25" s="63" t="s">
        <v>62</v>
      </c>
      <c r="E25" s="63"/>
      <c r="F25" s="63"/>
    </row>
    <row r="27" spans="2:8">
      <c r="B27" t="s">
        <v>52</v>
      </c>
      <c r="D27" s="43" t="s">
        <v>63</v>
      </c>
      <c r="E27" t="s">
        <v>64</v>
      </c>
    </row>
  </sheetData>
  <mergeCells count="6">
    <mergeCell ref="D25:F25"/>
    <mergeCell ref="D7:D8"/>
    <mergeCell ref="F7:F8"/>
    <mergeCell ref="C11:E11"/>
    <mergeCell ref="C12:E12"/>
    <mergeCell ref="B14:D14"/>
  </mergeCells>
  <hyperlinks>
    <hyperlink ref="C11" r:id="rId1" display="http://www.tuik.gov.tr/PreHaberBultenleri.do?id=16174"/>
    <hyperlink ref="D27" r:id="rId2"/>
    <hyperlink ref="C12" r:id="rId3" display="http://www.tuik.gov.tr/PreHaberBultenleri.do?id=16174"/>
    <hyperlink ref="D25" r:id="rId4" display="http://www.tuik.gov.tr/PreHaberBultenleri.do?id=16174"/>
  </hyperlinks>
  <pageMargins left="0.7" right="0.7" top="0.75" bottom="0.75" header="0.3" footer="0.3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Baseline Emissions</vt:lpstr>
      <vt:lpstr>Comp.of Baseline Emissions</vt:lpstr>
      <vt:lpstr>Monitoring Indicators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Hivda Ilkay Doğan (Entek)</dc:creator>
  <cp:lastModifiedBy>user</cp:lastModifiedBy>
  <dcterms:created xsi:type="dcterms:W3CDTF">2019-05-24T06:33:22Z</dcterms:created>
  <dcterms:modified xsi:type="dcterms:W3CDTF">2022-02-01T13:34:01Z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c40549a2-b6c3-4cae-8e6a-547bebd27b47</vt:lpwstr>
  </property>
  <property fmtid="{D5CDD505-2E9C-101B-9397-08002B2CF9AE}" pid="3" name="METADATA">
    <vt:lpwstr/>
  </property>
  <property fmtid="{D5CDD505-2E9C-101B-9397-08002B2CF9AE}" pid="4" name="Lisan">
    <vt:lpwstr>Turkce</vt:lpwstr>
  </property>
  <property fmtid="{D5CDD505-2E9C-101B-9397-08002B2CF9AE}" pid="5" name="Siniflandirma">
    <vt:lpwstr>Genel</vt:lpwstr>
  </property>
</Properties>
</file>