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192.168.2.10\Life_Enerji\LİFENERJİ_ARŞİV\1000.DANIŞMANLIK\1100.GÖNÜLLÜ KARBON PROJELERİ\1134.Beyobasi Enerji Üretim A.S-Sirma HES\Verifikasyon\3. Saha Ziyareti Sonrası\6. Review\Change\"/>
    </mc:Choice>
  </mc:AlternateContent>
  <xr:revisionPtr revIDLastSave="0" documentId="13_ncr:1_{FBFC99FD-9FA0-4120-93C1-EAF6E59CB479}" xr6:coauthVersionLast="47" xr6:coauthVersionMax="47" xr10:uidLastSave="{00000000-0000-0000-0000-000000000000}"/>
  <bookViews>
    <workbookView xWindow="-108" yWindow="-108" windowWidth="23256" windowHeight="12576" tabRatio="859" xr2:uid="{6F753D3F-592F-41D1-9A32-666194D723B6}"/>
  </bookViews>
  <sheets>
    <sheet name="Electricity Generation&amp;Vintages" sheetId="1" r:id="rId1"/>
    <sheet name="Receipts for Chross-check" sheetId="3" r:id="rId2"/>
  </sheets>
  <definedNames>
    <definedName name="ectract?">#REF!</definedName>
    <definedName name="_xlnm.Extrac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2" i="1" l="1"/>
  <c r="G90" i="1" l="1"/>
  <c r="I90" i="1" s="1"/>
  <c r="G89" i="1"/>
  <c r="I89" i="1" s="1"/>
  <c r="G88" i="1"/>
  <c r="I88" i="1" s="1"/>
  <c r="G87" i="1"/>
  <c r="I87" i="1" s="1"/>
  <c r="G86" i="1"/>
  <c r="I86" i="1" s="1"/>
  <c r="B10" i="3"/>
  <c r="B28" i="3"/>
  <c r="B22" i="3"/>
  <c r="B4" i="3"/>
  <c r="C70" i="1" s="1"/>
  <c r="C4" i="1"/>
  <c r="D4" i="1"/>
  <c r="G105" i="1"/>
  <c r="I91" i="1" l="1"/>
  <c r="G91" i="1"/>
  <c r="E4" i="1"/>
  <c r="F4" i="1" s="1"/>
  <c r="I4" i="1" s="1"/>
  <c r="B24" i="3"/>
  <c r="B23" i="3"/>
  <c r="C76" i="1"/>
  <c r="N28" i="3"/>
  <c r="K23" i="3" l="1"/>
  <c r="H28" i="3"/>
  <c r="E32" i="3"/>
  <c r="C88" i="1" s="1"/>
  <c r="E31" i="3"/>
  <c r="C87" i="1" s="1"/>
  <c r="E29" i="3"/>
  <c r="E28" i="3"/>
  <c r="B27" i="3"/>
  <c r="C75" i="1" s="1"/>
  <c r="B26" i="3"/>
  <c r="B25" i="3"/>
  <c r="B35" i="3" s="1"/>
  <c r="H33" i="3"/>
  <c r="C102" i="1" s="1"/>
  <c r="H30" i="3"/>
  <c r="C99" i="1" s="1"/>
  <c r="H11" i="3"/>
  <c r="H10" i="3"/>
  <c r="H9" i="3"/>
  <c r="H8" i="3"/>
  <c r="C95" i="1" s="1"/>
  <c r="H7" i="3"/>
  <c r="C94" i="1" s="1"/>
  <c r="E24" i="3"/>
  <c r="C80" i="1" s="1"/>
  <c r="E23" i="3"/>
  <c r="C79" i="1" s="1"/>
  <c r="E33" i="3"/>
  <c r="C89" i="1" s="1"/>
  <c r="E30" i="3"/>
  <c r="E27" i="3"/>
  <c r="E12" i="3"/>
  <c r="E11" i="3"/>
  <c r="C85" i="1" s="1"/>
  <c r="E10" i="3"/>
  <c r="C84" i="1" s="1"/>
  <c r="E9" i="3"/>
  <c r="C83" i="1" s="1"/>
  <c r="E7" i="3"/>
  <c r="E8" i="3"/>
  <c r="B8" i="3"/>
  <c r="B7" i="3"/>
  <c r="B6" i="3"/>
  <c r="C72" i="1" s="1"/>
  <c r="B5" i="3"/>
  <c r="C71" i="1" s="1"/>
  <c r="H32" i="3"/>
  <c r="C101" i="1" s="1"/>
  <c r="H31" i="3"/>
  <c r="C100" i="1" s="1"/>
  <c r="H29" i="3"/>
  <c r="H27" i="3"/>
  <c r="H26" i="3"/>
  <c r="H25" i="3"/>
  <c r="H24" i="3"/>
  <c r="C93" i="1" s="1"/>
  <c r="H23" i="3"/>
  <c r="C92" i="1" s="1"/>
  <c r="H22" i="3"/>
  <c r="C91" i="1" s="1"/>
  <c r="E26" i="3"/>
  <c r="E25" i="3"/>
  <c r="E22" i="3"/>
  <c r="C78" i="1" s="1"/>
  <c r="K5" i="3"/>
  <c r="N33" i="3"/>
  <c r="C128" i="1" s="1"/>
  <c r="N32" i="3"/>
  <c r="C127" i="1" s="1"/>
  <c r="N31" i="3"/>
  <c r="C126" i="1" s="1"/>
  <c r="N30" i="3"/>
  <c r="N29" i="3"/>
  <c r="N27" i="3"/>
  <c r="N26" i="3"/>
  <c r="C121" i="1" s="1"/>
  <c r="N25" i="3"/>
  <c r="C120" i="1" s="1"/>
  <c r="N24" i="3"/>
  <c r="C119" i="1" s="1"/>
  <c r="N23" i="3"/>
  <c r="C118" i="1" s="1"/>
  <c r="N22" i="3"/>
  <c r="C117" i="1" s="1"/>
  <c r="N12" i="3"/>
  <c r="C125" i="1" s="1"/>
  <c r="N11" i="3"/>
  <c r="N10" i="3"/>
  <c r="C123" i="1" s="1"/>
  <c r="N9" i="3"/>
  <c r="K33" i="3"/>
  <c r="C115" i="1" s="1"/>
  <c r="K32" i="3"/>
  <c r="C114" i="1" s="1"/>
  <c r="K31" i="3"/>
  <c r="K30" i="3"/>
  <c r="K29" i="3"/>
  <c r="K28" i="3"/>
  <c r="K27" i="3"/>
  <c r="K26" i="3"/>
  <c r="K25" i="3"/>
  <c r="K24" i="3"/>
  <c r="K22" i="3"/>
  <c r="C104" i="1" s="1"/>
  <c r="K13" i="3"/>
  <c r="K12" i="3"/>
  <c r="K11" i="3"/>
  <c r="K10" i="3"/>
  <c r="K9" i="3"/>
  <c r="K8" i="3"/>
  <c r="K7" i="3"/>
  <c r="K6" i="3"/>
  <c r="G63" i="1"/>
  <c r="E58" i="1"/>
  <c r="F58" i="1" s="1"/>
  <c r="E59" i="1"/>
  <c r="F59" i="1" s="1"/>
  <c r="E60" i="1"/>
  <c r="F60" i="1" s="1"/>
  <c r="E61" i="1"/>
  <c r="F61" i="1" s="1"/>
  <c r="E62" i="1"/>
  <c r="F62" i="1" s="1"/>
  <c r="E57" i="1"/>
  <c r="F57" i="1" s="1"/>
  <c r="E49" i="1"/>
  <c r="F49" i="1" s="1"/>
  <c r="C106" i="1" l="1"/>
  <c r="C73" i="1"/>
  <c r="C109" i="1"/>
  <c r="C122" i="1"/>
  <c r="C81" i="1"/>
  <c r="C112" i="1"/>
  <c r="C111" i="1"/>
  <c r="C107" i="1"/>
  <c r="C86" i="1"/>
  <c r="C96" i="1"/>
  <c r="C103" i="1" s="1"/>
  <c r="C97" i="1"/>
  <c r="C74" i="1"/>
  <c r="C98" i="1"/>
  <c r="E17" i="3"/>
  <c r="C82" i="1"/>
  <c r="C90" i="1" s="1"/>
  <c r="H17" i="3"/>
  <c r="K17" i="3"/>
  <c r="B17" i="3"/>
  <c r="C110" i="1"/>
  <c r="C113" i="1"/>
  <c r="K35" i="3"/>
  <c r="P35" i="3" s="1"/>
  <c r="C124" i="1"/>
  <c r="C129" i="1" s="1"/>
  <c r="C108" i="1"/>
  <c r="N35" i="3"/>
  <c r="E35" i="3"/>
  <c r="H35" i="3"/>
  <c r="C105" i="1"/>
  <c r="N17" i="3"/>
  <c r="G78" i="1"/>
  <c r="I78" i="1" s="1"/>
  <c r="G101" i="1"/>
  <c r="H50" i="1"/>
  <c r="G50" i="1"/>
  <c r="I60" i="1"/>
  <c r="I61" i="1"/>
  <c r="I62" i="1"/>
  <c r="E52" i="1"/>
  <c r="E53" i="1"/>
  <c r="E54" i="1"/>
  <c r="E55" i="1"/>
  <c r="E56" i="1"/>
  <c r="I57" i="1"/>
  <c r="I58" i="1"/>
  <c r="I59" i="1"/>
  <c r="E51" i="1"/>
  <c r="I49" i="1"/>
  <c r="E48" i="1"/>
  <c r="E47" i="1"/>
  <c r="E46" i="1"/>
  <c r="E45" i="1"/>
  <c r="E44" i="1"/>
  <c r="E43" i="1"/>
  <c r="E42" i="1"/>
  <c r="E41" i="1"/>
  <c r="E40" i="1"/>
  <c r="E39" i="1"/>
  <c r="E38" i="1"/>
  <c r="E27" i="1"/>
  <c r="F27" i="1" s="1"/>
  <c r="E28" i="1"/>
  <c r="F28" i="1" s="1"/>
  <c r="E29" i="1"/>
  <c r="F29" i="1" s="1"/>
  <c r="E30" i="1"/>
  <c r="F30" i="1" s="1"/>
  <c r="E31" i="1"/>
  <c r="F31" i="1" s="1"/>
  <c r="E32" i="1"/>
  <c r="F32" i="1" s="1"/>
  <c r="E33" i="1"/>
  <c r="F33" i="1" s="1"/>
  <c r="E34" i="1"/>
  <c r="F34" i="1" s="1"/>
  <c r="E35" i="1"/>
  <c r="F35" i="1" s="1"/>
  <c r="E36" i="1"/>
  <c r="F36" i="1" s="1"/>
  <c r="E26" i="1"/>
  <c r="F26" i="1" s="1"/>
  <c r="E25" i="1"/>
  <c r="F25" i="1" s="1"/>
  <c r="E23" i="1"/>
  <c r="F23" i="1" s="1"/>
  <c r="I23" i="1" s="1"/>
  <c r="E22" i="1"/>
  <c r="F22" i="1" s="1"/>
  <c r="I22" i="1" s="1"/>
  <c r="E21" i="1"/>
  <c r="F21" i="1" s="1"/>
  <c r="I21" i="1" s="1"/>
  <c r="E20" i="1"/>
  <c r="F20" i="1" s="1"/>
  <c r="I20" i="1" s="1"/>
  <c r="E19" i="1"/>
  <c r="F19" i="1" s="1"/>
  <c r="I19" i="1" s="1"/>
  <c r="E18" i="1"/>
  <c r="F18" i="1" s="1"/>
  <c r="I18" i="1" s="1"/>
  <c r="E17" i="1"/>
  <c r="F17" i="1" s="1"/>
  <c r="I17" i="1" s="1"/>
  <c r="E16" i="1"/>
  <c r="F16" i="1" s="1"/>
  <c r="I16" i="1" s="1"/>
  <c r="E15" i="1"/>
  <c r="F15" i="1" s="1"/>
  <c r="I15" i="1" s="1"/>
  <c r="E14" i="1"/>
  <c r="F14" i="1" s="1"/>
  <c r="I14" i="1" s="1"/>
  <c r="E13" i="1"/>
  <c r="F13" i="1" s="1"/>
  <c r="I13" i="1" s="1"/>
  <c r="E12" i="1"/>
  <c r="F12" i="1" s="1"/>
  <c r="I12" i="1" s="1"/>
  <c r="E5" i="1"/>
  <c r="F5" i="1" s="1"/>
  <c r="I5" i="1" s="1"/>
  <c r="E6" i="1"/>
  <c r="F6" i="1" s="1"/>
  <c r="I6" i="1" s="1"/>
  <c r="E7" i="1"/>
  <c r="F7" i="1" s="1"/>
  <c r="I7" i="1" s="1"/>
  <c r="E8" i="1"/>
  <c r="F8" i="1" s="1"/>
  <c r="I8" i="1" s="1"/>
  <c r="E9" i="1"/>
  <c r="F9" i="1" s="1"/>
  <c r="I9" i="1" s="1"/>
  <c r="E10" i="1"/>
  <c r="F10" i="1" s="1"/>
  <c r="I10" i="1" s="1"/>
  <c r="C11" i="1"/>
  <c r="D11" i="1"/>
  <c r="G11" i="1"/>
  <c r="H11" i="1"/>
  <c r="D63" i="1"/>
  <c r="C63" i="1"/>
  <c r="D24" i="1"/>
  <c r="D37" i="1"/>
  <c r="D50" i="1"/>
  <c r="C77" i="1" l="1"/>
  <c r="P17" i="3"/>
  <c r="D64" i="1"/>
  <c r="F42" i="1"/>
  <c r="I42" i="1" s="1"/>
  <c r="F51" i="1"/>
  <c r="I51" i="1" s="1"/>
  <c r="F52" i="1"/>
  <c r="I52" i="1" s="1"/>
  <c r="F43" i="1"/>
  <c r="I43" i="1" s="1"/>
  <c r="F44" i="1"/>
  <c r="I44" i="1" s="1"/>
  <c r="F45" i="1"/>
  <c r="I45" i="1" s="1"/>
  <c r="F38" i="1"/>
  <c r="I38" i="1" s="1"/>
  <c r="F46" i="1"/>
  <c r="I46" i="1" s="1"/>
  <c r="F56" i="1"/>
  <c r="I56" i="1" s="1"/>
  <c r="F39" i="1"/>
  <c r="I39" i="1" s="1"/>
  <c r="F47" i="1"/>
  <c r="I47" i="1" s="1"/>
  <c r="F55" i="1"/>
  <c r="I55" i="1" s="1"/>
  <c r="F40" i="1"/>
  <c r="I40" i="1" s="1"/>
  <c r="F48" i="1"/>
  <c r="I48" i="1" s="1"/>
  <c r="F54" i="1"/>
  <c r="I54" i="1" s="1"/>
  <c r="F41" i="1"/>
  <c r="I41" i="1" s="1"/>
  <c r="F53" i="1"/>
  <c r="I53" i="1" s="1"/>
  <c r="G103" i="1"/>
  <c r="G106" i="1" s="1"/>
  <c r="E11" i="1"/>
  <c r="I11" i="1"/>
  <c r="F11" i="1"/>
  <c r="H86" i="1" l="1"/>
  <c r="J86" i="1" s="1"/>
  <c r="I50" i="1"/>
  <c r="C24" i="1" l="1"/>
  <c r="C37" i="1"/>
  <c r="C50" i="1"/>
  <c r="G77" i="1"/>
  <c r="I77" i="1" s="1"/>
  <c r="G79" i="1"/>
  <c r="I79" i="1" s="1"/>
  <c r="G80" i="1"/>
  <c r="I80" i="1" s="1"/>
  <c r="G81" i="1"/>
  <c r="I81" i="1" s="1"/>
  <c r="C64" i="1" l="1"/>
  <c r="I82" i="1"/>
  <c r="G82" i="1"/>
  <c r="C116" i="1"/>
  <c r="C130" i="1" s="1"/>
  <c r="H63" i="1" l="1"/>
  <c r="I63" i="1" l="1"/>
  <c r="F63" i="1"/>
  <c r="E24" i="1"/>
  <c r="F24" i="1"/>
  <c r="E50" i="1"/>
  <c r="H89" i="1" s="1"/>
  <c r="J89" i="1" s="1"/>
  <c r="E37" i="1"/>
  <c r="H88" i="1" s="1"/>
  <c r="J88" i="1" s="1"/>
  <c r="E63" i="1"/>
  <c r="H90" i="1" s="1"/>
  <c r="J90" i="1" s="1"/>
  <c r="H87" i="1" l="1"/>
  <c r="J87" i="1" s="1"/>
  <c r="E64" i="1"/>
  <c r="H81" i="1"/>
  <c r="J81" i="1" s="1"/>
  <c r="H78" i="1"/>
  <c r="J78" i="1" s="1"/>
  <c r="H77" i="1"/>
  <c r="H91" i="1" l="1"/>
  <c r="J91" i="1" s="1"/>
  <c r="J77" i="1"/>
  <c r="F71" i="1"/>
  <c r="I34" i="1"/>
  <c r="I28" i="1"/>
  <c r="G37" i="1"/>
  <c r="H37" i="1"/>
  <c r="G24" i="1"/>
  <c r="G64" i="1" s="1"/>
  <c r="H24" i="1"/>
  <c r="H64" i="1" l="1"/>
  <c r="I36" i="1"/>
  <c r="I26" i="1"/>
  <c r="I33" i="1"/>
  <c r="I29" i="1"/>
  <c r="I35" i="1"/>
  <c r="I27" i="1"/>
  <c r="I32" i="1"/>
  <c r="I31" i="1"/>
  <c r="I30" i="1"/>
  <c r="I24" i="1" l="1"/>
  <c r="F37" i="1" l="1"/>
  <c r="I25" i="1"/>
  <c r="I37" i="1" s="1"/>
  <c r="I64" i="1" s="1"/>
  <c r="F50" i="1"/>
  <c r="H80" i="1" s="1"/>
  <c r="J80" i="1" s="1"/>
  <c r="H79" i="1" l="1"/>
  <c r="H82" i="1" s="1"/>
  <c r="F64" i="1"/>
  <c r="F72" i="1" s="1"/>
  <c r="J82" i="1" l="1"/>
  <c r="J79"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199CFAC-F144-4FB6-ACF8-156E8BB8A5FB}" keepAlive="1" name="Query - Table1" description="Connection to the 'Table1' query in the workbook." type="5" refreshedVersion="0" background="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<sst xmlns="http://schemas.openxmlformats.org/spreadsheetml/2006/main" count="184" uniqueCount="53">
  <si>
    <t>Months</t>
  </si>
  <si>
    <t>Electricity supplied to the grid (MWh)</t>
  </si>
  <si>
    <t>Electricity consumption from the grid (MWh)</t>
  </si>
  <si>
    <t>Net electricity supplied to the grid (MWh) [Supply-Consumption]</t>
  </si>
  <si>
    <t>Sum 2019</t>
  </si>
  <si>
    <t>Sum 2020</t>
  </si>
  <si>
    <t>Sum 2021</t>
  </si>
  <si>
    <t>Sum 2022</t>
  </si>
  <si>
    <t>Sum 2023</t>
  </si>
  <si>
    <t xml:space="preserve">Total Sum </t>
  </si>
  <si>
    <t xml:space="preserve">Net electricity supplied to the grid (MWh) </t>
  </si>
  <si>
    <t>Vintage</t>
  </si>
  <si>
    <t>n of days</t>
  </si>
  <si>
    <t>% by year</t>
  </si>
  <si>
    <t>Total</t>
  </si>
  <si>
    <t>Monitoring Start Date</t>
  </si>
  <si>
    <t>Monitoring End Date</t>
  </si>
  <si>
    <t>Monitoring Duration (days)</t>
  </si>
  <si>
    <t xml:space="preserve">Annual Estimated Electricity Generation Amount (MWh/yr) </t>
  </si>
  <si>
    <t>March</t>
  </si>
  <si>
    <t>January</t>
  </si>
  <si>
    <t>April</t>
  </si>
  <si>
    <t>February</t>
  </si>
  <si>
    <t>May</t>
  </si>
  <si>
    <t>June</t>
  </si>
  <si>
    <t>July</t>
  </si>
  <si>
    <t>August</t>
  </si>
  <si>
    <t>September</t>
  </si>
  <si>
    <t>October</t>
  </si>
  <si>
    <t>November</t>
  </si>
  <si>
    <t>December</t>
  </si>
  <si>
    <t>Sırma HEPP</t>
  </si>
  <si>
    <t>Electricity Supplied to the Grid (Receipts) (MWh)</t>
  </si>
  <si>
    <t>Electricity Consumption from the Grid (Receipts) (MWh)</t>
  </si>
  <si>
    <r>
      <t>Baseline emissions or baseline net GHG removals by sinks (tCO</t>
    </r>
    <r>
      <rPr>
        <b/>
        <vertAlign val="subscript"/>
        <sz val="10"/>
        <color theme="3" tint="-0.499984740745262"/>
        <rFont val="Arial"/>
        <family val="2"/>
        <charset val="162"/>
      </rPr>
      <t>2</t>
    </r>
    <r>
      <rPr>
        <b/>
        <sz val="10"/>
        <color theme="3" tint="-0.499984740745262"/>
        <rFont val="Arial"/>
        <family val="2"/>
      </rPr>
      <t>e)</t>
    </r>
  </si>
  <si>
    <r>
      <t>Project emissions or actual net GHG removals by sinks (tCO</t>
    </r>
    <r>
      <rPr>
        <b/>
        <vertAlign val="subscript"/>
        <sz val="10"/>
        <color theme="3" tint="-0.499984740745262"/>
        <rFont val="Arial"/>
        <family val="2"/>
        <charset val="162"/>
      </rPr>
      <t>2</t>
    </r>
    <r>
      <rPr>
        <b/>
        <sz val="10"/>
        <color theme="3" tint="-0.499984740745262"/>
        <rFont val="Arial"/>
        <family val="2"/>
      </rPr>
      <t>e)</t>
    </r>
  </si>
  <si>
    <r>
      <t>Leakage (tCO</t>
    </r>
    <r>
      <rPr>
        <b/>
        <vertAlign val="subscript"/>
        <sz val="10"/>
        <color theme="3" tint="-0.499984740745262"/>
        <rFont val="Arial"/>
        <family val="2"/>
        <charset val="162"/>
      </rPr>
      <t>2</t>
    </r>
    <r>
      <rPr>
        <b/>
        <sz val="10"/>
        <color theme="3" tint="-0.499984740745262"/>
        <rFont val="Arial"/>
        <family val="2"/>
      </rPr>
      <t>e)</t>
    </r>
  </si>
  <si>
    <r>
      <t>Emission reductions or net anthropogenic GHG removals by sinks (tCO</t>
    </r>
    <r>
      <rPr>
        <b/>
        <vertAlign val="subscript"/>
        <sz val="10"/>
        <color theme="3" tint="-0.499984740745262"/>
        <rFont val="Arial"/>
        <family val="2"/>
        <charset val="162"/>
      </rPr>
      <t>2</t>
    </r>
    <r>
      <rPr>
        <b/>
        <sz val="10"/>
        <color theme="3" tint="-0.499984740745262"/>
        <rFont val="Arial"/>
        <family val="2"/>
      </rPr>
      <t>e)</t>
    </r>
  </si>
  <si>
    <t>*</t>
  </si>
  <si>
    <t xml:space="preserve">As the EPİAŞ daily electricity generation data for June 2019 could not be reached, the electricity generation of the whole amount in June 2019, has been calculated to apportion for the 24 days that has been included in the monitoring period for this month. </t>
  </si>
  <si>
    <t>*June</t>
  </si>
  <si>
    <t>Receipts</t>
  </si>
  <si>
    <r>
      <t>CM(tCO</t>
    </r>
    <r>
      <rPr>
        <b/>
        <vertAlign val="subscript"/>
        <sz val="10"/>
        <color theme="3" tint="-0.499984740745262"/>
        <rFont val="Arial"/>
        <family val="2"/>
        <charset val="162"/>
      </rPr>
      <t>2</t>
    </r>
    <r>
      <rPr>
        <b/>
        <sz val="10"/>
        <color theme="3" tint="-0.499984740745262"/>
        <rFont val="Arial"/>
        <family val="2"/>
        <charset val="162"/>
      </rPr>
      <t>/MWh)</t>
    </r>
  </si>
  <si>
    <r>
      <t>Annual Estimated ER Amount (tCO</t>
    </r>
    <r>
      <rPr>
        <vertAlign val="subscript"/>
        <sz val="10"/>
        <color theme="3" tint="-0.499984740745262"/>
        <rFont val="Arial"/>
        <family val="2"/>
        <charset val="162"/>
      </rPr>
      <t>2</t>
    </r>
    <r>
      <rPr>
        <sz val="10"/>
        <color theme="3" tint="-0.499984740745262"/>
        <rFont val="Arial"/>
        <family val="2"/>
        <charset val="162"/>
      </rPr>
      <t xml:space="preserve">e/yr) </t>
    </r>
  </si>
  <si>
    <r>
      <t>Actual ER</t>
    </r>
    <r>
      <rPr>
        <b/>
        <vertAlign val="subscript"/>
        <sz val="10"/>
        <color theme="3" tint="-0.499984740745262"/>
        <rFont val="Arial"/>
        <family val="2"/>
        <charset val="162"/>
      </rPr>
      <t>y</t>
    </r>
    <r>
      <rPr>
        <b/>
        <sz val="10"/>
        <color theme="3" tint="-0.499984740745262"/>
        <rFont val="Arial"/>
        <family val="2"/>
        <charset val="162"/>
      </rPr>
      <t xml:space="preserve"> (tCO</t>
    </r>
    <r>
      <rPr>
        <b/>
        <vertAlign val="subscript"/>
        <sz val="10"/>
        <color theme="3" tint="-0.499984740745262"/>
        <rFont val="Arial"/>
        <family val="2"/>
        <charset val="162"/>
      </rPr>
      <t>2</t>
    </r>
    <r>
      <rPr>
        <b/>
        <sz val="10"/>
        <color theme="3" tint="-0.499984740745262"/>
        <rFont val="Arial"/>
        <family val="2"/>
        <charset val="162"/>
      </rPr>
      <t>e)</t>
    </r>
  </si>
  <si>
    <r>
      <t>Estimated ER</t>
    </r>
    <r>
      <rPr>
        <b/>
        <vertAlign val="subscript"/>
        <sz val="10"/>
        <color theme="3" tint="-0.499984740745262"/>
        <rFont val="Arial"/>
        <family val="2"/>
        <charset val="162"/>
      </rPr>
      <t>y</t>
    </r>
    <r>
      <rPr>
        <b/>
        <sz val="10"/>
        <color theme="3" tint="-0.499984740745262"/>
        <rFont val="Arial"/>
        <family val="2"/>
        <charset val="162"/>
      </rPr>
      <t xml:space="preserve"> (tCO</t>
    </r>
    <r>
      <rPr>
        <b/>
        <vertAlign val="subscript"/>
        <sz val="10"/>
        <color theme="3" tint="-0.499984740745262"/>
        <rFont val="Arial"/>
        <family val="2"/>
        <charset val="162"/>
      </rPr>
      <t>2</t>
    </r>
    <r>
      <rPr>
        <b/>
        <sz val="10"/>
        <color theme="3" tint="-0.499984740745262"/>
        <rFont val="Arial"/>
        <family val="2"/>
        <charset val="162"/>
      </rPr>
      <t>e)</t>
    </r>
  </si>
  <si>
    <r>
      <t>Estimated ER Amount (during monitoring duration) (tCO</t>
    </r>
    <r>
      <rPr>
        <vertAlign val="subscript"/>
        <sz val="10"/>
        <color theme="3" tint="-0.499984740745262"/>
        <rFont val="Arial"/>
        <family val="2"/>
        <charset val="162"/>
      </rPr>
      <t>2</t>
    </r>
    <r>
      <rPr>
        <sz val="10"/>
        <color theme="3" tint="-0.499984740745262"/>
        <rFont val="Arial"/>
        <family val="2"/>
        <charset val="162"/>
      </rPr>
      <t>e/yr)</t>
    </r>
  </si>
  <si>
    <t>Annual Electricity Generation (MWh)</t>
  </si>
  <si>
    <r>
      <rPr>
        <b/>
        <sz val="10"/>
        <color theme="3" tint="-0.499984740745262"/>
        <rFont val="Arial"/>
        <family val="2"/>
        <charset val="162"/>
      </rPr>
      <t>Annual Emission Reduction (tCO</t>
    </r>
    <r>
      <rPr>
        <b/>
        <vertAlign val="subscript"/>
        <sz val="10"/>
        <color theme="3" tint="-0.499984740745262"/>
        <rFont val="Arial"/>
        <family val="2"/>
        <charset val="162"/>
      </rPr>
      <t>2</t>
    </r>
    <r>
      <rPr>
        <b/>
        <sz val="10"/>
        <color theme="3" tint="-0.499984740745262"/>
        <rFont val="Arial"/>
        <family val="2"/>
        <charset val="162"/>
      </rPr>
      <t>e/yr)</t>
    </r>
  </si>
  <si>
    <t>Actual EGy (MWh)</t>
  </si>
  <si>
    <t>Estimated EGy (MWh)</t>
  </si>
  <si>
    <t>Sub-total of MP that start 07/06/2019 to 31/12/2023 (MWh)</t>
  </si>
  <si>
    <t>SIRMA HEPP AMOUNT OF REDUCED EMISSIONS (07/06/2019 to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</si>
</sst>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0.000"/>
    <numFmt numFmtId="166" formatCode="_-* #,##0.00\ _T_L_-;\-* #,##0.00\ _T_L_-;_-* &quot;-&quot;??\ _T_L_-;_-@_-"/>
    <numFmt numFmtId="167" formatCode="#,##0.0000"/>
    <numFmt numFmtId="168" formatCode="#,##0.000"/>
    <numFmt numFmtId="169" formatCode="0.0000"/>
    <numFmt numFmtId="170" formatCode="dd/mm/yyyy;@"/>
    <numFmt numFmtId="171" formatCode="_-* #,##0.00\ _D_M_-;\-* #,##0.00\ _D_M_-;_-* &quot;-&quot;??\ _D_M_-;_-@_-"/>
    <numFmt numFmtId="172" formatCode="0.0"/>
  </numFmts>
  <fonts count="42">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scheme val="minor"/>
    </font>
    <font>
      <sz val="11"/>
      <color rgb="FF000000"/>
      <name val="Calibri"/>
      <family val="2"/>
      <charset val="162"/>
    </font>
    <font>
      <b/>
      <sz val="10"/>
      <color theme="3" tint="-0.499984740745262"/>
      <name val="Arial"/>
      <family val="2"/>
    </font>
    <font>
      <b/>
      <sz val="10"/>
      <color theme="3" tint="-0.499984740745262"/>
      <name val="Arial"/>
      <family val="2"/>
      <charset val="162"/>
    </font>
    <font>
      <sz val="10"/>
      <color theme="3" tint="-0.499984740745262"/>
      <name val="Arial"/>
      <family val="2"/>
      <charset val="162"/>
    </font>
    <font>
      <sz val="10"/>
      <color theme="3" tint="-0.499984740745262"/>
      <name val="Arial"/>
      <family val="2"/>
    </font>
    <font>
      <sz val="10"/>
      <color theme="3" tint="-0.499984740745262"/>
      <name val="Calibri"/>
      <family val="2"/>
      <charset val="162"/>
    </font>
    <font>
      <sz val="10"/>
      <color theme="3" tint="-0.499984740745262"/>
      <name val="Calibri"/>
      <family val="2"/>
      <scheme val="minor"/>
    </font>
    <font>
      <sz val="10"/>
      <name val="Arial"/>
      <family val="2"/>
    </font>
    <font>
      <sz val="11"/>
      <color theme="1"/>
      <name val="Calibri"/>
      <family val="2"/>
      <charset val="162"/>
      <scheme val="minor"/>
    </font>
    <font>
      <sz val="10"/>
      <name val="Verdana"/>
      <family val="2"/>
      <charset val="162"/>
    </font>
    <font>
      <u/>
      <sz val="11"/>
      <color theme="10"/>
      <name val="Calibri"/>
      <family val="2"/>
      <charset val="162"/>
      <scheme val="minor"/>
    </font>
    <font>
      <sz val="10"/>
      <color rgb="FF000000"/>
      <name val="Times New Roman"/>
      <family val="1"/>
    </font>
    <font>
      <sz val="10"/>
      <name val="Geneva"/>
      <family val="2"/>
    </font>
    <font>
      <sz val="10"/>
      <name val="Arial Tur"/>
      <charset val="162"/>
    </font>
    <font>
      <sz val="10"/>
      <name val="Arial"/>
      <family val="2"/>
      <charset val="162"/>
    </font>
    <font>
      <u/>
      <sz val="10"/>
      <color theme="10"/>
      <name val="Arial"/>
      <family val="2"/>
      <charset val="162"/>
    </font>
    <font>
      <sz val="10"/>
      <name val="Arial"/>
      <family val="2"/>
      <charset val="162"/>
    </font>
    <font>
      <b/>
      <sz val="20"/>
      <color theme="1"/>
      <name val="Calibri"/>
      <family val="2"/>
      <charset val="162"/>
      <scheme val="minor"/>
    </font>
    <font>
      <sz val="14"/>
      <color theme="1"/>
      <name val="Calibri"/>
      <family val="2"/>
      <charset val="162"/>
      <scheme val="minor"/>
    </font>
    <font>
      <b/>
      <sz val="14"/>
      <color rgb="FF000000"/>
      <name val="Arial"/>
      <family val="2"/>
      <charset val="162"/>
    </font>
    <font>
      <sz val="12"/>
      <color theme="1"/>
      <name val="Calibri"/>
      <family val="2"/>
      <charset val="162"/>
      <scheme val="minor"/>
    </font>
    <font>
      <sz val="11"/>
      <name val="Arial"/>
      <family val="2"/>
      <charset val="162"/>
    </font>
    <font>
      <b/>
      <sz val="16"/>
      <color theme="1"/>
      <name val="Calibri"/>
      <family val="2"/>
      <scheme val="minor"/>
    </font>
    <font>
      <sz val="12"/>
      <name val="Arial"/>
      <family val="2"/>
      <charset val="162"/>
    </font>
    <font>
      <sz val="12"/>
      <name val="Arial"/>
      <family val="2"/>
    </font>
    <font>
      <b/>
      <vertAlign val="subscript"/>
      <sz val="10"/>
      <color theme="3" tint="-0.499984740745262"/>
      <name val="Arial"/>
      <family val="2"/>
      <charset val="162"/>
    </font>
    <font>
      <sz val="8"/>
      <name val="Calibri"/>
      <family val="2"/>
      <scheme val="minor"/>
    </font>
    <font>
      <sz val="14"/>
      <name val="Arial"/>
      <family val="2"/>
      <charset val="162"/>
    </font>
    <font>
      <vertAlign val="subscript"/>
      <sz val="10"/>
      <color theme="3" tint="-0.499984740745262"/>
      <name val="Arial"/>
      <family val="2"/>
      <charset val="162"/>
    </font>
    <font>
      <b/>
      <sz val="11"/>
      <color theme="1"/>
      <name val="Arial"/>
      <family val="2"/>
      <charset val="162"/>
    </font>
    <font>
      <u/>
      <sz val="7.5"/>
      <color indexed="12"/>
      <name val="Geneva"/>
      <family val="2"/>
    </font>
    <font>
      <u/>
      <sz val="11"/>
      <color theme="10"/>
      <name val="Calibri"/>
      <family val="2"/>
      <scheme val="minor"/>
    </font>
    <font>
      <u/>
      <sz val="7.5"/>
      <color indexed="12"/>
      <name val="Geneva"/>
      <charset val="162"/>
    </font>
    <font>
      <sz val="10"/>
      <name val="Geneva"/>
      <family val="2"/>
      <charset val="162"/>
    </font>
    <font>
      <sz val="11"/>
      <color indexed="8"/>
      <name val="Calibri"/>
      <family val="2"/>
      <charset val="162"/>
    </font>
    <font>
      <sz val="10"/>
      <name val="Book Antiqua"/>
      <family val="1"/>
    </font>
    <font>
      <b/>
      <sz val="12"/>
      <color theme="3" tint="-0.499984740745262"/>
      <name val="Arial"/>
      <family val="2"/>
      <charset val="162"/>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ECECAE"/>
        <bgColor indexed="64"/>
      </patternFill>
    </fill>
    <fill>
      <patternFill patternType="solid">
        <fgColor theme="7" tint="0.79998168889431442"/>
        <bgColor indexed="64"/>
      </patternFill>
    </fill>
    <fill>
      <patternFill patternType="solid">
        <fgColor theme="7"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0">
    <xf numFmtId="0" fontId="0" fillId="0" borderId="0"/>
    <xf numFmtId="9" fontId="4" fillId="0" borderId="0" applyFont="0" applyFill="0" applyBorder="0" applyAlignment="0" applyProtection="0"/>
    <xf numFmtId="0" fontId="4" fillId="0" borderId="0"/>
    <xf numFmtId="0" fontId="5" fillId="0" borderId="0"/>
    <xf numFmtId="0" fontId="12" fillId="0" borderId="0"/>
    <xf numFmtId="43" fontId="4" fillId="0" borderId="0" applyFont="0" applyFill="0" applyBorder="0" applyAlignment="0" applyProtection="0"/>
    <xf numFmtId="0" fontId="13" fillId="0" borderId="0"/>
    <xf numFmtId="164" fontId="14" fillId="0" borderId="0" applyFont="0" applyFill="0" applyBorder="0" applyAlignment="0" applyProtection="0"/>
    <xf numFmtId="166" fontId="13" fillId="0" borderId="0" applyFont="0" applyFill="0" applyBorder="0" applyAlignment="0" applyProtection="0"/>
    <xf numFmtId="0" fontId="15" fillId="0" borderId="0" applyNumberFormat="0" applyFill="0" applyBorder="0" applyAlignment="0" applyProtection="0"/>
    <xf numFmtId="0" fontId="16" fillId="0" borderId="0"/>
    <xf numFmtId="166" fontId="13" fillId="0" borderId="0" applyFont="0" applyFill="0" applyBorder="0" applyAlignment="0" applyProtection="0"/>
    <xf numFmtId="0" fontId="17" fillId="0" borderId="0"/>
    <xf numFmtId="0" fontId="18" fillId="0" borderId="0"/>
    <xf numFmtId="0" fontId="13" fillId="0" borderId="0"/>
    <xf numFmtId="0" fontId="13" fillId="0" borderId="0"/>
    <xf numFmtId="0" fontId="13" fillId="0" borderId="0"/>
    <xf numFmtId="0" fontId="13" fillId="0" borderId="0"/>
    <xf numFmtId="166" fontId="13" fillId="0" borderId="0" applyFont="0" applyFill="0" applyBorder="0" applyAlignment="0" applyProtection="0"/>
    <xf numFmtId="0" fontId="13" fillId="0" borderId="0"/>
    <xf numFmtId="9" fontId="19" fillId="0" borderId="0" applyFont="0" applyFill="0" applyBorder="0" applyAlignment="0" applyProtection="0"/>
    <xf numFmtId="0" fontId="20" fillId="0" borderId="0" applyNumberFormat="0" applyFill="0" applyBorder="0" applyAlignment="0" applyProtection="0">
      <alignment vertical="top"/>
      <protection locked="0"/>
    </xf>
    <xf numFmtId="0" fontId="13" fillId="0" borderId="0"/>
    <xf numFmtId="0" fontId="16" fillId="0" borderId="0"/>
    <xf numFmtId="0" fontId="3" fillId="0" borderId="0"/>
    <xf numFmtId="0" fontId="3" fillId="0" borderId="0"/>
    <xf numFmtId="0" fontId="3" fillId="0" borderId="0"/>
    <xf numFmtId="0" fontId="3" fillId="0" borderId="0"/>
    <xf numFmtId="166" fontId="3" fillId="0" borderId="0" applyFont="0" applyFill="0" applyBorder="0" applyAlignment="0" applyProtection="0"/>
    <xf numFmtId="0" fontId="3" fillId="0" borderId="0"/>
    <xf numFmtId="0" fontId="19" fillId="0" borderId="0"/>
    <xf numFmtId="0" fontId="2" fillId="0" borderId="0"/>
    <xf numFmtId="9" fontId="2" fillId="0" borderId="0" applyFont="0" applyFill="0" applyBorder="0" applyAlignment="0" applyProtection="0"/>
    <xf numFmtId="0" fontId="21" fillId="0" borderId="0"/>
    <xf numFmtId="0" fontId="19" fillId="0" borderId="0"/>
    <xf numFmtId="0" fontId="1" fillId="0" borderId="0"/>
    <xf numFmtId="9" fontId="19" fillId="0" borderId="0" applyFont="0" applyFill="0" applyBorder="0" applyAlignment="0" applyProtection="0"/>
    <xf numFmtId="0" fontId="4" fillId="0" borderId="0"/>
    <xf numFmtId="0" fontId="1" fillId="0" borderId="0"/>
    <xf numFmtId="166" fontId="1" fillId="0" borderId="0" applyFont="0" applyFill="0" applyBorder="0" applyAlignment="0" applyProtection="0"/>
    <xf numFmtId="0" fontId="1" fillId="0" borderId="0"/>
    <xf numFmtId="0" fontId="35" fillId="0" borderId="0" applyNumberFormat="0" applyFill="0" applyBorder="0" applyAlignment="0" applyProtection="0">
      <alignment vertical="top"/>
      <protection locked="0"/>
    </xf>
    <xf numFmtId="0" fontId="36" fillId="0" borderId="0" applyNumberFormat="0" applyFill="0" applyBorder="0" applyAlignment="0" applyProtection="0"/>
    <xf numFmtId="0" fontId="1" fillId="0" borderId="0"/>
    <xf numFmtId="0" fontId="17" fillId="0" borderId="0"/>
    <xf numFmtId="9" fontId="17" fillId="0" borderId="0" applyFont="0" applyFill="0" applyBorder="0" applyAlignment="0" applyProtection="0"/>
    <xf numFmtId="9" fontId="4" fillId="0" borderId="0" applyFont="0" applyFill="0" applyBorder="0" applyAlignment="0" applyProtection="0"/>
    <xf numFmtId="0" fontId="12" fillId="0" borderId="0"/>
    <xf numFmtId="43" fontId="4" fillId="0" borderId="0" applyFont="0" applyFill="0" applyBorder="0" applyAlignment="0" applyProtection="0"/>
    <xf numFmtId="0" fontId="1" fillId="0" borderId="0"/>
    <xf numFmtId="43"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9" fillId="0" borderId="0"/>
    <xf numFmtId="0" fontId="37" fillId="0" borderId="0" applyNumberFormat="0" applyFill="0" applyBorder="0" applyAlignment="0" applyProtection="0">
      <alignment vertical="top"/>
      <protection locked="0"/>
    </xf>
    <xf numFmtId="0" fontId="19" fillId="0" borderId="0"/>
    <xf numFmtId="171" fontId="19" fillId="0" borderId="0" applyFont="0" applyFill="0" applyBorder="0" applyAlignment="0" applyProtection="0"/>
    <xf numFmtId="172" fontId="38" fillId="0" borderId="0"/>
    <xf numFmtId="9" fontId="39" fillId="0" borderId="0" applyFont="0" applyFill="0" applyBorder="0" applyAlignment="0" applyProtection="0"/>
    <xf numFmtId="172" fontId="38" fillId="0" borderId="0"/>
    <xf numFmtId="172" fontId="38" fillId="0" borderId="0"/>
    <xf numFmtId="172" fontId="38" fillId="0" borderId="0"/>
    <xf numFmtId="172" fontId="38" fillId="0" borderId="0"/>
    <xf numFmtId="0" fontId="40" fillId="0" borderId="0"/>
    <xf numFmtId="166" fontId="19" fillId="0" borderId="0" applyFont="0" applyFill="0" applyBorder="0" applyAlignment="0" applyProtection="0"/>
  </cellStyleXfs>
  <cellXfs count="89">
    <xf numFmtId="0" fontId="0" fillId="0" borderId="0" xfId="0"/>
    <xf numFmtId="0" fontId="7" fillId="0" borderId="0" xfId="0" applyFont="1" applyAlignment="1">
      <alignment horizontal="center"/>
    </xf>
    <xf numFmtId="0" fontId="8" fillId="0" borderId="0" xfId="0" applyFont="1" applyAlignment="1">
      <alignment horizontal="center"/>
    </xf>
    <xf numFmtId="4" fontId="9" fillId="0" borderId="1" xfId="0" applyNumberFormat="1" applyFont="1" applyBorder="1" applyAlignment="1">
      <alignment horizontal="center" vertical="center"/>
    </xf>
    <xf numFmtId="0" fontId="6" fillId="3" borderId="1" xfId="0" applyFont="1" applyFill="1" applyBorder="1" applyAlignment="1">
      <alignment horizontal="center"/>
    </xf>
    <xf numFmtId="0" fontId="6" fillId="3" borderId="1" xfId="0" applyFont="1" applyFill="1" applyBorder="1" applyAlignment="1">
      <alignment horizontal="center" wrapText="1"/>
    </xf>
    <xf numFmtId="0" fontId="8" fillId="0" borderId="0" xfId="0" applyFont="1" applyAlignment="1">
      <alignment horizontal="left"/>
    </xf>
    <xf numFmtId="165" fontId="8" fillId="0" borderId="0" xfId="0" applyNumberFormat="1" applyFont="1" applyAlignment="1">
      <alignment horizontal="center"/>
    </xf>
    <xf numFmtId="0" fontId="8" fillId="0" borderId="0" xfId="0" applyFont="1" applyAlignment="1">
      <alignment horizontal="right"/>
    </xf>
    <xf numFmtId="0" fontId="7" fillId="3" borderId="1" xfId="0" applyFont="1" applyFill="1" applyBorder="1" applyAlignment="1">
      <alignment horizontal="center"/>
    </xf>
    <xf numFmtId="0" fontId="6" fillId="0" borderId="1" xfId="0" applyFont="1" applyBorder="1" applyAlignment="1">
      <alignment horizontal="center"/>
    </xf>
    <xf numFmtId="0" fontId="8" fillId="0" borderId="1" xfId="0" applyFont="1" applyBorder="1" applyAlignment="1">
      <alignment horizontal="center"/>
    </xf>
    <xf numFmtId="14" fontId="8" fillId="0" borderId="7" xfId="0" applyNumberFormat="1" applyFont="1" applyBorder="1" applyAlignment="1">
      <alignment horizontal="center"/>
    </xf>
    <xf numFmtId="14" fontId="8" fillId="0" borderId="1" xfId="0" applyNumberFormat="1" applyFont="1" applyBorder="1" applyAlignment="1">
      <alignment horizontal="center"/>
    </xf>
    <xf numFmtId="4" fontId="9" fillId="3" borderId="1" xfId="0" applyNumberFormat="1" applyFont="1" applyFill="1" applyBorder="1" applyAlignment="1">
      <alignment horizontal="center" vertical="center"/>
    </xf>
    <xf numFmtId="4" fontId="6" fillId="3" borderId="1"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10" fillId="0" borderId="0" xfId="3" applyFont="1"/>
    <xf numFmtId="0" fontId="11" fillId="0" borderId="0" xfId="0" applyFont="1"/>
    <xf numFmtId="0" fontId="7" fillId="0" borderId="14" xfId="0" applyFont="1" applyBorder="1" applyAlignment="1">
      <alignment vertical="center" wrapText="1"/>
    </xf>
    <xf numFmtId="0" fontId="7" fillId="0" borderId="0" xfId="0" applyFont="1" applyAlignment="1">
      <alignment vertical="center" wrapText="1"/>
    </xf>
    <xf numFmtId="14" fontId="6" fillId="3" borderId="1" xfId="0" applyNumberFormat="1" applyFont="1" applyFill="1" applyBorder="1" applyAlignment="1">
      <alignment horizontal="center"/>
    </xf>
    <xf numFmtId="43" fontId="8" fillId="0" borderId="1" xfId="5" applyFont="1" applyBorder="1" applyAlignment="1">
      <alignment horizontal="center" vertical="center"/>
    </xf>
    <xf numFmtId="167" fontId="8" fillId="0" borderId="0" xfId="0" applyNumberFormat="1" applyFont="1" applyAlignment="1">
      <alignment horizontal="center"/>
    </xf>
    <xf numFmtId="3" fontId="8" fillId="0" borderId="8" xfId="0" applyNumberFormat="1" applyFont="1" applyBorder="1" applyAlignment="1">
      <alignment horizontal="center" vertical="center"/>
    </xf>
    <xf numFmtId="3" fontId="8" fillId="0" borderId="13" xfId="0" applyNumberFormat="1" applyFont="1" applyBorder="1" applyAlignment="1">
      <alignment horizontal="center" vertical="center"/>
    </xf>
    <xf numFmtId="3" fontId="8" fillId="0" borderId="1" xfId="0" applyNumberFormat="1" applyFont="1" applyBorder="1" applyAlignment="1">
      <alignment horizontal="center"/>
    </xf>
    <xf numFmtId="3" fontId="8" fillId="0" borderId="0" xfId="0" applyNumberFormat="1" applyFont="1" applyAlignment="1">
      <alignment horizontal="center"/>
    </xf>
    <xf numFmtId="3" fontId="8" fillId="2" borderId="1" xfId="0" applyNumberFormat="1" applyFont="1" applyFill="1" applyBorder="1" applyAlignment="1">
      <alignment horizontal="center" vertical="center"/>
    </xf>
    <xf numFmtId="3" fontId="7" fillId="0" borderId="11" xfId="0" applyNumberFormat="1" applyFont="1" applyBorder="1" applyAlignment="1">
      <alignment horizontal="center"/>
    </xf>
    <xf numFmtId="9" fontId="6" fillId="0" borderId="13" xfId="1" applyFont="1" applyFill="1" applyBorder="1" applyAlignment="1">
      <alignment horizontal="center"/>
    </xf>
    <xf numFmtId="4" fontId="9" fillId="0" borderId="1" xfId="2" applyNumberFormat="1" applyFont="1" applyBorder="1" applyAlignment="1">
      <alignment horizontal="center" vertical="center"/>
    </xf>
    <xf numFmtId="0" fontId="7" fillId="3" borderId="15" xfId="0" applyFont="1" applyFill="1" applyBorder="1" applyAlignment="1">
      <alignment horizontal="center" vertical="center" wrapText="1"/>
    </xf>
    <xf numFmtId="0" fontId="6" fillId="3" borderId="15" xfId="0" applyFont="1" applyFill="1" applyBorder="1" applyAlignment="1">
      <alignment horizontal="center" vertical="center" wrapText="1"/>
    </xf>
    <xf numFmtId="4" fontId="9" fillId="4" borderId="1" xfId="0" applyNumberFormat="1" applyFont="1" applyFill="1" applyBorder="1" applyAlignment="1">
      <alignment horizontal="center" vertical="center"/>
    </xf>
    <xf numFmtId="168" fontId="9" fillId="0" borderId="1" xfId="2" applyNumberFormat="1" applyFont="1" applyBorder="1" applyAlignment="1">
      <alignment horizontal="center" vertical="center"/>
    </xf>
    <xf numFmtId="168" fontId="9" fillId="0" borderId="1" xfId="0" applyNumberFormat="1" applyFont="1" applyBorder="1" applyAlignment="1">
      <alignment horizontal="center" vertical="center"/>
    </xf>
    <xf numFmtId="168" fontId="9" fillId="2" borderId="1" xfId="2" applyNumberFormat="1" applyFont="1" applyFill="1" applyBorder="1" applyAlignment="1">
      <alignment horizontal="center" vertical="center"/>
    </xf>
    <xf numFmtId="168" fontId="9" fillId="2" borderId="1" xfId="0" applyNumberFormat="1" applyFont="1" applyFill="1" applyBorder="1" applyAlignment="1">
      <alignment horizontal="center" vertical="center"/>
    </xf>
    <xf numFmtId="167" fontId="9" fillId="0" borderId="1" xfId="2" applyNumberFormat="1" applyFont="1" applyBorder="1" applyAlignment="1">
      <alignment horizontal="center" vertical="center"/>
    </xf>
    <xf numFmtId="3" fontId="7" fillId="0" borderId="12" xfId="0" applyNumberFormat="1"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9" fontId="8" fillId="2" borderId="8" xfId="1" applyFont="1" applyFill="1" applyBorder="1"/>
    <xf numFmtId="14" fontId="8" fillId="0" borderId="6" xfId="0" applyNumberFormat="1" applyFont="1" applyBorder="1" applyAlignment="1">
      <alignment horizontal="center" vertical="center"/>
    </xf>
    <xf numFmtId="14" fontId="8" fillId="0" borderId="8" xfId="0" applyNumberFormat="1" applyFont="1" applyBorder="1" applyAlignment="1">
      <alignment horizontal="center" vertical="center"/>
    </xf>
    <xf numFmtId="4" fontId="7" fillId="3" borderId="1" xfId="0" applyNumberFormat="1" applyFont="1" applyFill="1" applyBorder="1" applyAlignment="1">
      <alignment horizontal="center" vertical="center"/>
    </xf>
    <xf numFmtId="0" fontId="21" fillId="0" borderId="0" xfId="33"/>
    <xf numFmtId="0" fontId="23" fillId="0" borderId="0" xfId="33" applyFont="1"/>
    <xf numFmtId="4" fontId="21" fillId="0" borderId="0" xfId="33" applyNumberFormat="1" applyAlignment="1">
      <alignment horizontal="center" vertical="center"/>
    </xf>
    <xf numFmtId="0" fontId="23" fillId="7" borderId="12" xfId="33" applyFont="1" applyFill="1" applyBorder="1" applyAlignment="1">
      <alignment horizontal="center" vertical="center"/>
    </xf>
    <xf numFmtId="0" fontId="25" fillId="8" borderId="1" xfId="33" applyFont="1" applyFill="1" applyBorder="1"/>
    <xf numFmtId="4" fontId="26" fillId="0" borderId="1" xfId="33" applyNumberFormat="1" applyFont="1" applyBorder="1" applyAlignment="1">
      <alignment horizontal="center" vertical="center"/>
    </xf>
    <xf numFmtId="169" fontId="21" fillId="0" borderId="0" xfId="33" applyNumberFormat="1"/>
    <xf numFmtId="0" fontId="27" fillId="9" borderId="1" xfId="33" applyFont="1" applyFill="1" applyBorder="1" applyAlignment="1">
      <alignment horizontal="center" vertical="center"/>
    </xf>
    <xf numFmtId="0" fontId="25" fillId="9" borderId="0" xfId="33" applyFont="1" applyFill="1"/>
    <xf numFmtId="4" fontId="28" fillId="10" borderId="0" xfId="33" applyNumberFormat="1" applyFont="1" applyFill="1" applyAlignment="1">
      <alignment horizontal="center" vertical="center"/>
    </xf>
    <xf numFmtId="4" fontId="28" fillId="10" borderId="1" xfId="33" applyNumberFormat="1" applyFont="1" applyFill="1" applyBorder="1" applyAlignment="1">
      <alignment horizontal="center" vertical="center"/>
    </xf>
    <xf numFmtId="0" fontId="24" fillId="6" borderId="17" xfId="2" applyFont="1" applyFill="1" applyBorder="1" applyAlignment="1">
      <alignment horizontal="center" vertical="center" wrapText="1"/>
    </xf>
    <xf numFmtId="0" fontId="24" fillId="6" borderId="18" xfId="2" applyFont="1" applyFill="1" applyBorder="1" applyAlignment="1">
      <alignment horizontal="center" vertical="center" wrapText="1"/>
    </xf>
    <xf numFmtId="168" fontId="26" fillId="0" borderId="1" xfId="33" applyNumberFormat="1" applyFont="1" applyBorder="1" applyAlignment="1">
      <alignment horizontal="center" vertical="center"/>
    </xf>
    <xf numFmtId="168" fontId="9" fillId="4" borderId="1" xfId="0" applyNumberFormat="1" applyFont="1" applyFill="1" applyBorder="1" applyAlignment="1">
      <alignment horizontal="center" vertical="center"/>
    </xf>
    <xf numFmtId="0" fontId="29" fillId="0" borderId="0" xfId="33" applyFont="1" applyAlignment="1">
      <alignment horizontal="center" vertical="top" wrapText="1"/>
    </xf>
    <xf numFmtId="0" fontId="8" fillId="0" borderId="0" xfId="0" applyFont="1"/>
    <xf numFmtId="14" fontId="6" fillId="0" borderId="1" xfId="0" applyNumberFormat="1" applyFont="1" applyBorder="1" applyAlignment="1">
      <alignment horizontal="center"/>
    </xf>
    <xf numFmtId="0" fontId="32" fillId="0" borderId="0" xfId="33" applyFont="1" applyAlignment="1">
      <alignment horizontal="center"/>
    </xf>
    <xf numFmtId="170" fontId="7" fillId="2" borderId="1" xfId="0" applyNumberFormat="1" applyFont="1" applyFill="1" applyBorder="1" applyAlignment="1">
      <alignment horizontal="center"/>
    </xf>
    <xf numFmtId="3" fontId="7" fillId="0" borderId="0" xfId="0" applyNumberFormat="1" applyFont="1" applyAlignment="1">
      <alignment horizontal="center"/>
    </xf>
    <xf numFmtId="9" fontId="6" fillId="0" borderId="0" xfId="1" applyFont="1" applyFill="1" applyBorder="1" applyAlignment="1">
      <alignment horizontal="center"/>
    </xf>
    <xf numFmtId="4" fontId="7" fillId="0" borderId="11" xfId="0" applyNumberFormat="1" applyFont="1" applyBorder="1" applyAlignment="1">
      <alignment horizontal="center"/>
    </xf>
    <xf numFmtId="4" fontId="8" fillId="0" borderId="1" xfId="0" applyNumberFormat="1" applyFont="1" applyBorder="1" applyAlignment="1">
      <alignment horizontal="center"/>
    </xf>
    <xf numFmtId="0" fontId="41" fillId="0" borderId="0" xfId="0" applyFont="1" applyAlignment="1">
      <alignment horizontal="right"/>
    </xf>
    <xf numFmtId="9" fontId="7" fillId="2" borderId="13" xfId="1" applyFont="1" applyFill="1" applyBorder="1" applyAlignment="1">
      <alignment horizontal="center"/>
    </xf>
    <xf numFmtId="0" fontId="8" fillId="0" borderId="9" xfId="0" applyFont="1" applyBorder="1" applyAlignment="1">
      <alignment horizontal="center"/>
    </xf>
    <xf numFmtId="0" fontId="8" fillId="0" borderId="11" xfId="0" applyFont="1" applyBorder="1" applyAlignment="1">
      <alignment horizontal="center"/>
    </xf>
    <xf numFmtId="0" fontId="8" fillId="0" borderId="16" xfId="0" applyFont="1" applyBorder="1" applyAlignment="1">
      <alignment horizontal="center"/>
    </xf>
    <xf numFmtId="0" fontId="8" fillId="0" borderId="2" xfId="0" applyFont="1" applyBorder="1" applyAlignment="1">
      <alignment horizontal="center"/>
    </xf>
    <xf numFmtId="0" fontId="6" fillId="0" borderId="1" xfId="0" applyFont="1" applyBorder="1" applyAlignment="1">
      <alignment horizontal="center" vertical="center"/>
    </xf>
    <xf numFmtId="0" fontId="8" fillId="0" borderId="3" xfId="0" applyFont="1" applyBorder="1" applyAlignment="1">
      <alignment horizontal="center"/>
    </xf>
    <xf numFmtId="0" fontId="8" fillId="0" borderId="4" xfId="0" applyFont="1" applyBorder="1" applyAlignment="1">
      <alignment horizontal="center"/>
    </xf>
    <xf numFmtId="0" fontId="7" fillId="0" borderId="1" xfId="0" applyFont="1" applyBorder="1" applyAlignment="1">
      <alignment horizontal="center" vertical="center" wrapText="1"/>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34" fillId="0" borderId="9" xfId="30" applyFont="1" applyBorder="1" applyAlignment="1">
      <alignment horizontal="center"/>
    </xf>
    <xf numFmtId="0" fontId="34" fillId="0" borderId="11" xfId="30" applyFont="1" applyBorder="1" applyAlignment="1">
      <alignment horizontal="center"/>
    </xf>
    <xf numFmtId="0" fontId="22" fillId="11" borderId="0" xfId="33" applyFont="1" applyFill="1" applyAlignment="1">
      <alignment horizontal="center" vertical="center"/>
    </xf>
    <xf numFmtId="0" fontId="22" fillId="5" borderId="0" xfId="33" applyFont="1" applyFill="1" applyAlignment="1">
      <alignment horizontal="center" vertical="center"/>
    </xf>
  </cellXfs>
  <cellStyles count="80">
    <cellStyle name="Binlik Ayracı_Calculation_CM_12(1).11.08-VER2 2" xfId="71" xr:uid="{5CBCB8EB-3FF3-428A-B6E4-15FF98632BB6}"/>
    <cellStyle name="Comma" xfId="5" builtinId="3"/>
    <cellStyle name="Comma 2" xfId="7" xr:uid="{E9846074-2767-42A3-BEE1-91CA914FEF9C}"/>
    <cellStyle name="Comma 2 2" xfId="50" xr:uid="{64291004-790C-48EA-9D2E-53634CD16A35}"/>
    <cellStyle name="Comma 3" xfId="48" xr:uid="{4DFF5A07-439D-499D-8B80-F62DC5BB68C5}"/>
    <cellStyle name="Dezimal_Recent Power Plants and Wind Power Plants 2" xfId="79" xr:uid="{45223FE4-8868-4F23-8721-9A74F40D0B4A}"/>
    <cellStyle name="Hyperlink 2" xfId="41" xr:uid="{D44BDA4C-2D9A-4B4D-B895-B4A6A076498B}"/>
    <cellStyle name="Hyperlink 3" xfId="42" xr:uid="{5D8A0032-4711-4729-BAA7-34D99AACEC3B}"/>
    <cellStyle name="Hyperlink 4" xfId="69" xr:uid="{80C666AF-92FC-49D7-9CF9-4A7C930F8FBF}"/>
    <cellStyle name="Köprü 2" xfId="9" xr:uid="{43DEADA6-E6A3-4F0F-9C39-77A845452B68}"/>
    <cellStyle name="Köprü 2 2" xfId="21" xr:uid="{6E3C331E-2956-884E-A6DA-88A437A4DC17}"/>
    <cellStyle name="Normal" xfId="0" builtinId="0"/>
    <cellStyle name="Normal 11" xfId="3" xr:uid="{5F7540D4-E796-4651-989A-260CAF94773C}"/>
    <cellStyle name="Normal 13" xfId="34" xr:uid="{7D37332C-FA5C-468B-8FFF-EDE6A601C9E8}"/>
    <cellStyle name="Normal 13 10" xfId="19" xr:uid="{06BCB6E4-15EE-CF46-88EE-81BA0AC85A11}"/>
    <cellStyle name="Normal 13 10 2" xfId="29" xr:uid="{EEB7CB8D-12C7-4277-89CB-168166030062}"/>
    <cellStyle name="Normal 13 10 2 2" xfId="65" xr:uid="{8CF781FE-5EBD-4385-8DB3-4AA93070C6AD}"/>
    <cellStyle name="Normal 13 10 2 3" xfId="40" xr:uid="{37D062D3-14AA-46BA-BF5D-AE8C44373B60}"/>
    <cellStyle name="Normal 13 10 3" xfId="58" xr:uid="{7FA8FCB6-B346-4F9D-BB8C-180AAAAA1D79}"/>
    <cellStyle name="Normal 14" xfId="72" xr:uid="{DA380493-C3DC-45B6-8B2E-D26FF0941D71}"/>
    <cellStyle name="Normal 15" xfId="74" xr:uid="{325E9444-1B1D-48DF-B45C-FE631C47BAD7}"/>
    <cellStyle name="Normal 16" xfId="75" xr:uid="{FEF56B49-9C47-496E-929B-B6B5ABAC2765}"/>
    <cellStyle name="Normal 17" xfId="76" xr:uid="{8990D6B1-4442-48CE-8580-2500B6FF8A80}"/>
    <cellStyle name="Normal 18" xfId="77" xr:uid="{2A7B590D-3E75-48F3-8EDE-4DE52BB19130}"/>
    <cellStyle name="Normal 2" xfId="2" xr:uid="{EF630920-8FCF-47A5-81C5-4F3FBA2859E7}"/>
    <cellStyle name="Normal 2 2" xfId="30" xr:uid="{B9E628DF-EC89-4FB0-AFF8-C14684C35EF1}"/>
    <cellStyle name="Normal 2 3" xfId="78" xr:uid="{53F8B336-152C-4B9D-8DDC-E840A9640C7D}"/>
    <cellStyle name="Normal 3" xfId="4" xr:uid="{F10C4FBD-8D13-4BBD-9F85-4BB920A94D92}"/>
    <cellStyle name="Normal 3 2" xfId="44" xr:uid="{A0E23101-9043-4614-9D4B-147628D95184}"/>
    <cellStyle name="Normal 3 3" xfId="47" xr:uid="{429587B1-4D74-4711-8A4D-DCE9E192D590}"/>
    <cellStyle name="Normal 3 4" xfId="35" xr:uid="{AAE4CE37-F9FA-42DF-BBD7-9BCDBFB5CBAF}"/>
    <cellStyle name="Normal 4" xfId="10" xr:uid="{9633F881-B128-4E25-BD3B-8637C1C2BCE9}"/>
    <cellStyle name="Normal 4 14" xfId="37" xr:uid="{2871DB26-269F-4EEC-8E44-32A0845C8694}"/>
    <cellStyle name="Normal 4 15" xfId="23" xr:uid="{1A44EBEB-1130-4000-A6F9-7BB353A1B7AF}"/>
    <cellStyle name="Normal 41" xfId="17" xr:uid="{D2341AC0-6557-2547-A4F5-F47050BA2742}"/>
    <cellStyle name="Normal 41 2" xfId="27" xr:uid="{ED60D435-2B71-4E4F-9DE1-A208D7D491E6}"/>
    <cellStyle name="Normal 41 2 2" xfId="63" xr:uid="{D6A7D30A-3294-4C7C-AF60-FD5E1142E932}"/>
    <cellStyle name="Normal 41 2 3" xfId="38" xr:uid="{20B38AD3-DB94-42C8-ABAE-F76E5238CE14}"/>
    <cellStyle name="Normal 41 3" xfId="56" xr:uid="{6C89A711-462A-4EB8-A31F-4E8E26C06975}"/>
    <cellStyle name="Normal 42" xfId="22" xr:uid="{681CA25F-A867-6A43-B982-F2FCB80EE424}"/>
    <cellStyle name="Normal 42 2" xfId="26" xr:uid="{7828327B-CAEE-4A1D-AB27-BCC6119129B4}"/>
    <cellStyle name="Normal 42 2 2" xfId="62" xr:uid="{18435AE9-830A-4F07-BF73-5A2438EC5622}"/>
    <cellStyle name="Normal 42 2 3" xfId="43" xr:uid="{29D2518B-87C8-48E3-AEAF-65845968DAF9}"/>
    <cellStyle name="Normal 42 3" xfId="59" xr:uid="{702A4FA0-32C3-4B65-873B-773030CF674A}"/>
    <cellStyle name="Normal 43" xfId="13" xr:uid="{C413D3D0-AED5-EA47-840C-C675A67601D5}"/>
    <cellStyle name="Normal 46" xfId="14" xr:uid="{E602E8DD-8940-F24D-8F8B-AE280B4E43E8}"/>
    <cellStyle name="Normal 46 2" xfId="24" xr:uid="{1D33B75D-D309-4C16-A100-95449F03FEBB}"/>
    <cellStyle name="Normal 46 2 2" xfId="60" xr:uid="{81E2C3D6-6C6A-434A-B05A-93C58645098B}"/>
    <cellStyle name="Normal 46 3" xfId="53" xr:uid="{5D453435-A542-48FE-9DE4-536CB5793651}"/>
    <cellStyle name="Normal 47" xfId="15" xr:uid="{1C0EEE2D-29AA-7745-B664-6512F13638C7}"/>
    <cellStyle name="Normal 47 2" xfId="25" xr:uid="{C8E76C5C-D5C2-400C-8D92-A42C4132C6DE}"/>
    <cellStyle name="Normal 47 2 2" xfId="61" xr:uid="{8B1874B8-F90E-47D7-8B67-E44A85C8329A}"/>
    <cellStyle name="Normal 47 3" xfId="54" xr:uid="{0A002244-B4FB-4E85-8622-72304B1EE1D2}"/>
    <cellStyle name="Normal 48" xfId="16" xr:uid="{420F3BDA-3F4B-D34B-86D8-42A95B9FE66C}"/>
    <cellStyle name="Normal 48 2" xfId="55" xr:uid="{D4A57D3C-53A7-41C2-81BC-8F70178759FB}"/>
    <cellStyle name="Normal 5" xfId="12" xr:uid="{2476E693-5D6C-4756-9DB7-D1B8B834EB07}"/>
    <cellStyle name="Normal 6" xfId="31" xr:uid="{8968611C-A544-42B9-B3D5-6F63C587077F}"/>
    <cellStyle name="Normal 6 2" xfId="66" xr:uid="{A695AF22-63FE-4729-B50A-7687FB593D7B}"/>
    <cellStyle name="Normal 7" xfId="33" xr:uid="{52D39A62-15EC-4AB6-9013-69382BEABD07}"/>
    <cellStyle name="Normal 7 2" xfId="68" xr:uid="{39FA75BF-AFBB-44E0-AE8F-64C9DBE8FA6D}"/>
    <cellStyle name="Normal 9" xfId="6" xr:uid="{D8D208E0-06A4-4756-96B3-D3FB4F2B577C}"/>
    <cellStyle name="Normal 9 2" xfId="49" xr:uid="{44660332-1474-4BE0-8AFC-4D062182545C}"/>
    <cellStyle name="Percent" xfId="1" builtinId="5"/>
    <cellStyle name="Percent 2" xfId="32" xr:uid="{496211AB-C633-4876-B1D1-76799021D097}"/>
    <cellStyle name="Percent 2 2" xfId="67" xr:uid="{FB21E2BB-1A53-4AF7-B0D1-5D76B71A6B22}"/>
    <cellStyle name="Percent 3" xfId="46" xr:uid="{249EBE81-CFAD-4672-A9B9-2D039C55F9F2}"/>
    <cellStyle name="Percent 4" xfId="73" xr:uid="{C12D172D-00F9-417C-A5C5-3627709BC769}"/>
    <cellStyle name="Percent 5" xfId="36" xr:uid="{0158F85C-951E-41B6-AB56-C20F3CABDE85}"/>
    <cellStyle name="Percent 7" xfId="45" xr:uid="{7CFC3972-5A3D-4BFE-B8D4-A75C9E0BA65C}"/>
    <cellStyle name="Standard_Recent Power Plants and Wind Power Plants 2" xfId="70" xr:uid="{13B1632F-2A39-4960-AF58-977DDCBA2C51}"/>
    <cellStyle name="Virgül 2" xfId="11" xr:uid="{236FAB37-2E9F-445E-BB1C-5EDA20E4B796}"/>
    <cellStyle name="Virgül 2 2" xfId="52" xr:uid="{22FDFF2E-EF2E-4DCA-840D-C86A2B9BDC41}"/>
    <cellStyle name="Virgül 2 3" xfId="18" xr:uid="{94F84BF8-E3A4-8F4D-94C0-4423B0E71253}"/>
    <cellStyle name="Virgül 2 3 2" xfId="28" xr:uid="{74C5A0D3-5660-4F8E-A632-76DC14CA80EC}"/>
    <cellStyle name="Virgül 2 3 2 2" xfId="64" xr:uid="{3B911642-4AB7-4F60-837B-52422778C68F}"/>
    <cellStyle name="Virgül 2 3 2 3" xfId="39" xr:uid="{15459979-C649-4C87-B881-D18DDB963957}"/>
    <cellStyle name="Virgül 2 3 3" xfId="57" xr:uid="{B56F68D3-35DD-4C46-9471-8AEAD6CD37A8}"/>
    <cellStyle name="Virgül 4" xfId="8" xr:uid="{CF9C67AB-7175-42D5-9692-28AD4EACF030}"/>
    <cellStyle name="Virgül 4 2" xfId="51" xr:uid="{5AAC478E-2934-4315-BE99-0599BC0C46E6}"/>
    <cellStyle name="Yüzde 2 2" xfId="20" xr:uid="{B4C82BD4-EF09-764E-86BF-B1A003944BCC}"/>
  </cellStyles>
  <dxfs count="0"/>
  <tableStyles count="0" defaultTableStyle="TableStyleMedium2" defaultPivotStyle="PivotStyleLight16"/>
  <colors>
    <mruColors>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C82AD-40C7-41E3-A283-636ECBE41234}">
  <sheetPr codeName="Sheet1"/>
  <dimension ref="A2:S165"/>
  <sheetViews>
    <sheetView tabSelected="1" zoomScale="121" zoomScaleNormal="121" workbookViewId="0">
      <pane ySplit="3" topLeftCell="A4" activePane="bottomLeft" state="frozen"/>
      <selection pane="bottomLeft" activeCell="B2" sqref="B2:I2"/>
    </sheetView>
  </sheetViews>
  <sheetFormatPr defaultColWidth="25.6640625" defaultRowHeight="13.2"/>
  <cols>
    <col min="1" max="1" width="5.44140625" style="2" customWidth="1"/>
    <col min="2" max="2" width="22.109375" style="1" bestFit="1" customWidth="1"/>
    <col min="3" max="3" width="24.109375" style="2" customWidth="1"/>
    <col min="4" max="4" width="24.6640625" style="2" bestFit="1" customWidth="1"/>
    <col min="5" max="5" width="34.5546875" style="2" customWidth="1"/>
    <col min="6" max="6" width="25.6640625" style="2" customWidth="1"/>
    <col min="7" max="7" width="26.88671875" style="2" customWidth="1"/>
    <col min="8" max="8" width="24.33203125" style="2" bestFit="1" customWidth="1"/>
    <col min="9" max="10" width="22.44140625" style="2" customWidth="1"/>
    <col min="11" max="11" width="23.6640625" style="2" customWidth="1"/>
    <col min="12" max="12" width="18.109375" style="2" customWidth="1"/>
    <col min="13" max="13" width="24.6640625" style="2" bestFit="1" customWidth="1"/>
    <col min="14" max="14" width="24.88671875" style="2" bestFit="1" customWidth="1"/>
    <col min="15" max="15" width="25.44140625" style="2" bestFit="1" customWidth="1"/>
    <col min="16" max="16" width="25.33203125" style="2" bestFit="1" customWidth="1"/>
    <col min="17" max="17" width="14.6640625" style="2" bestFit="1" customWidth="1"/>
    <col min="18" max="18" width="25" style="2" bestFit="1" customWidth="1"/>
    <col min="19" max="256" width="25.6640625" style="2"/>
    <col min="257" max="257" width="5.44140625" style="2" customWidth="1"/>
    <col min="258" max="258" width="22.109375" style="2" bestFit="1" customWidth="1"/>
    <col min="259" max="259" width="21.109375" style="2" customWidth="1"/>
    <col min="260" max="260" width="24.6640625" style="2" bestFit="1" customWidth="1"/>
    <col min="261" max="261" width="30.44140625" style="2" customWidth="1"/>
    <col min="262" max="262" width="25.6640625" style="2"/>
    <col min="263" max="263" width="25.33203125" style="2" bestFit="1" customWidth="1"/>
    <col min="264" max="264" width="24.33203125" style="2" bestFit="1" customWidth="1"/>
    <col min="265" max="265" width="16.44140625" style="2" bestFit="1" customWidth="1"/>
    <col min="266" max="266" width="13" style="2" bestFit="1" customWidth="1"/>
    <col min="267" max="267" width="11.109375" style="2" bestFit="1" customWidth="1"/>
    <col min="268" max="268" width="50.44140625" style="2" customWidth="1"/>
    <col min="269" max="269" width="24.6640625" style="2" bestFit="1" customWidth="1"/>
    <col min="270" max="270" width="24.88671875" style="2" bestFit="1" customWidth="1"/>
    <col min="271" max="271" width="25.44140625" style="2" bestFit="1" customWidth="1"/>
    <col min="272" max="272" width="25.33203125" style="2" bestFit="1" customWidth="1"/>
    <col min="273" max="273" width="14.6640625" style="2" bestFit="1" customWidth="1"/>
    <col min="274" max="274" width="25" style="2" bestFit="1" customWidth="1"/>
    <col min="275" max="512" width="25.6640625" style="2"/>
    <col min="513" max="513" width="5.44140625" style="2" customWidth="1"/>
    <col min="514" max="514" width="22.109375" style="2" bestFit="1" customWidth="1"/>
    <col min="515" max="515" width="21.109375" style="2" customWidth="1"/>
    <col min="516" max="516" width="24.6640625" style="2" bestFit="1" customWidth="1"/>
    <col min="517" max="517" width="30.44140625" style="2" customWidth="1"/>
    <col min="518" max="518" width="25.6640625" style="2"/>
    <col min="519" max="519" width="25.33203125" style="2" bestFit="1" customWidth="1"/>
    <col min="520" max="520" width="24.33203125" style="2" bestFit="1" customWidth="1"/>
    <col min="521" max="521" width="16.44140625" style="2" bestFit="1" customWidth="1"/>
    <col min="522" max="522" width="13" style="2" bestFit="1" customWidth="1"/>
    <col min="523" max="523" width="11.109375" style="2" bestFit="1" customWidth="1"/>
    <col min="524" max="524" width="50.44140625" style="2" customWidth="1"/>
    <col min="525" max="525" width="24.6640625" style="2" bestFit="1" customWidth="1"/>
    <col min="526" max="526" width="24.88671875" style="2" bestFit="1" customWidth="1"/>
    <col min="527" max="527" width="25.44140625" style="2" bestFit="1" customWidth="1"/>
    <col min="528" max="528" width="25.33203125" style="2" bestFit="1" customWidth="1"/>
    <col min="529" max="529" width="14.6640625" style="2" bestFit="1" customWidth="1"/>
    <col min="530" max="530" width="25" style="2" bestFit="1" customWidth="1"/>
    <col min="531" max="768" width="25.6640625" style="2"/>
    <col min="769" max="769" width="5.44140625" style="2" customWidth="1"/>
    <col min="770" max="770" width="22.109375" style="2" bestFit="1" customWidth="1"/>
    <col min="771" max="771" width="21.109375" style="2" customWidth="1"/>
    <col min="772" max="772" width="24.6640625" style="2" bestFit="1" customWidth="1"/>
    <col min="773" max="773" width="30.44140625" style="2" customWidth="1"/>
    <col min="774" max="774" width="25.6640625" style="2"/>
    <col min="775" max="775" width="25.33203125" style="2" bestFit="1" customWidth="1"/>
    <col min="776" max="776" width="24.33203125" style="2" bestFit="1" customWidth="1"/>
    <col min="777" max="777" width="16.44140625" style="2" bestFit="1" customWidth="1"/>
    <col min="778" max="778" width="13" style="2" bestFit="1" customWidth="1"/>
    <col min="779" max="779" width="11.109375" style="2" bestFit="1" customWidth="1"/>
    <col min="780" max="780" width="50.44140625" style="2" customWidth="1"/>
    <col min="781" max="781" width="24.6640625" style="2" bestFit="1" customWidth="1"/>
    <col min="782" max="782" width="24.88671875" style="2" bestFit="1" customWidth="1"/>
    <col min="783" max="783" width="25.44140625" style="2" bestFit="1" customWidth="1"/>
    <col min="784" max="784" width="25.33203125" style="2" bestFit="1" customWidth="1"/>
    <col min="785" max="785" width="14.6640625" style="2" bestFit="1" customWidth="1"/>
    <col min="786" max="786" width="25" style="2" bestFit="1" customWidth="1"/>
    <col min="787" max="1024" width="25.6640625" style="2"/>
    <col min="1025" max="1025" width="5.44140625" style="2" customWidth="1"/>
    <col min="1026" max="1026" width="22.109375" style="2" bestFit="1" customWidth="1"/>
    <col min="1027" max="1027" width="21.109375" style="2" customWidth="1"/>
    <col min="1028" max="1028" width="24.6640625" style="2" bestFit="1" customWidth="1"/>
    <col min="1029" max="1029" width="30.44140625" style="2" customWidth="1"/>
    <col min="1030" max="1030" width="25.6640625" style="2"/>
    <col min="1031" max="1031" width="25.33203125" style="2" bestFit="1" customWidth="1"/>
    <col min="1032" max="1032" width="24.33203125" style="2" bestFit="1" customWidth="1"/>
    <col min="1033" max="1033" width="16.44140625" style="2" bestFit="1" customWidth="1"/>
    <col min="1034" max="1034" width="13" style="2" bestFit="1" customWidth="1"/>
    <col min="1035" max="1035" width="11.109375" style="2" bestFit="1" customWidth="1"/>
    <col min="1036" max="1036" width="50.44140625" style="2" customWidth="1"/>
    <col min="1037" max="1037" width="24.6640625" style="2" bestFit="1" customWidth="1"/>
    <col min="1038" max="1038" width="24.88671875" style="2" bestFit="1" customWidth="1"/>
    <col min="1039" max="1039" width="25.44140625" style="2" bestFit="1" customWidth="1"/>
    <col min="1040" max="1040" width="25.33203125" style="2" bestFit="1" customWidth="1"/>
    <col min="1041" max="1041" width="14.6640625" style="2" bestFit="1" customWidth="1"/>
    <col min="1042" max="1042" width="25" style="2" bestFit="1" customWidth="1"/>
    <col min="1043" max="1280" width="25.6640625" style="2"/>
    <col min="1281" max="1281" width="5.44140625" style="2" customWidth="1"/>
    <col min="1282" max="1282" width="22.109375" style="2" bestFit="1" customWidth="1"/>
    <col min="1283" max="1283" width="21.109375" style="2" customWidth="1"/>
    <col min="1284" max="1284" width="24.6640625" style="2" bestFit="1" customWidth="1"/>
    <col min="1285" max="1285" width="30.44140625" style="2" customWidth="1"/>
    <col min="1286" max="1286" width="25.6640625" style="2"/>
    <col min="1287" max="1287" width="25.33203125" style="2" bestFit="1" customWidth="1"/>
    <col min="1288" max="1288" width="24.33203125" style="2" bestFit="1" customWidth="1"/>
    <col min="1289" max="1289" width="16.44140625" style="2" bestFit="1" customWidth="1"/>
    <col min="1290" max="1290" width="13" style="2" bestFit="1" customWidth="1"/>
    <col min="1291" max="1291" width="11.109375" style="2" bestFit="1" customWidth="1"/>
    <col min="1292" max="1292" width="50.44140625" style="2" customWidth="1"/>
    <col min="1293" max="1293" width="24.6640625" style="2" bestFit="1" customWidth="1"/>
    <col min="1294" max="1294" width="24.88671875" style="2" bestFit="1" customWidth="1"/>
    <col min="1295" max="1295" width="25.44140625" style="2" bestFit="1" customWidth="1"/>
    <col min="1296" max="1296" width="25.33203125" style="2" bestFit="1" customWidth="1"/>
    <col min="1297" max="1297" width="14.6640625" style="2" bestFit="1" customWidth="1"/>
    <col min="1298" max="1298" width="25" style="2" bestFit="1" customWidth="1"/>
    <col min="1299" max="1536" width="25.6640625" style="2"/>
    <col min="1537" max="1537" width="5.44140625" style="2" customWidth="1"/>
    <col min="1538" max="1538" width="22.109375" style="2" bestFit="1" customWidth="1"/>
    <col min="1539" max="1539" width="21.109375" style="2" customWidth="1"/>
    <col min="1540" max="1540" width="24.6640625" style="2" bestFit="1" customWidth="1"/>
    <col min="1541" max="1541" width="30.44140625" style="2" customWidth="1"/>
    <col min="1542" max="1542" width="25.6640625" style="2"/>
    <col min="1543" max="1543" width="25.33203125" style="2" bestFit="1" customWidth="1"/>
    <col min="1544" max="1544" width="24.33203125" style="2" bestFit="1" customWidth="1"/>
    <col min="1545" max="1545" width="16.44140625" style="2" bestFit="1" customWidth="1"/>
    <col min="1546" max="1546" width="13" style="2" bestFit="1" customWidth="1"/>
    <col min="1547" max="1547" width="11.109375" style="2" bestFit="1" customWidth="1"/>
    <col min="1548" max="1548" width="50.44140625" style="2" customWidth="1"/>
    <col min="1549" max="1549" width="24.6640625" style="2" bestFit="1" customWidth="1"/>
    <col min="1550" max="1550" width="24.88671875" style="2" bestFit="1" customWidth="1"/>
    <col min="1551" max="1551" width="25.44140625" style="2" bestFit="1" customWidth="1"/>
    <col min="1552" max="1552" width="25.33203125" style="2" bestFit="1" customWidth="1"/>
    <col min="1553" max="1553" width="14.6640625" style="2" bestFit="1" customWidth="1"/>
    <col min="1554" max="1554" width="25" style="2" bestFit="1" customWidth="1"/>
    <col min="1555" max="1792" width="25.6640625" style="2"/>
    <col min="1793" max="1793" width="5.44140625" style="2" customWidth="1"/>
    <col min="1794" max="1794" width="22.109375" style="2" bestFit="1" customWidth="1"/>
    <col min="1795" max="1795" width="21.109375" style="2" customWidth="1"/>
    <col min="1796" max="1796" width="24.6640625" style="2" bestFit="1" customWidth="1"/>
    <col min="1797" max="1797" width="30.44140625" style="2" customWidth="1"/>
    <col min="1798" max="1798" width="25.6640625" style="2"/>
    <col min="1799" max="1799" width="25.33203125" style="2" bestFit="1" customWidth="1"/>
    <col min="1800" max="1800" width="24.33203125" style="2" bestFit="1" customWidth="1"/>
    <col min="1801" max="1801" width="16.44140625" style="2" bestFit="1" customWidth="1"/>
    <col min="1802" max="1802" width="13" style="2" bestFit="1" customWidth="1"/>
    <col min="1803" max="1803" width="11.109375" style="2" bestFit="1" customWidth="1"/>
    <col min="1804" max="1804" width="50.44140625" style="2" customWidth="1"/>
    <col min="1805" max="1805" width="24.6640625" style="2" bestFit="1" customWidth="1"/>
    <col min="1806" max="1806" width="24.88671875" style="2" bestFit="1" customWidth="1"/>
    <col min="1807" max="1807" width="25.44140625" style="2" bestFit="1" customWidth="1"/>
    <col min="1808" max="1808" width="25.33203125" style="2" bestFit="1" customWidth="1"/>
    <col min="1809" max="1809" width="14.6640625" style="2" bestFit="1" customWidth="1"/>
    <col min="1810" max="1810" width="25" style="2" bestFit="1" customWidth="1"/>
    <col min="1811" max="2048" width="25.6640625" style="2"/>
    <col min="2049" max="2049" width="5.44140625" style="2" customWidth="1"/>
    <col min="2050" max="2050" width="22.109375" style="2" bestFit="1" customWidth="1"/>
    <col min="2051" max="2051" width="21.109375" style="2" customWidth="1"/>
    <col min="2052" max="2052" width="24.6640625" style="2" bestFit="1" customWidth="1"/>
    <col min="2053" max="2053" width="30.44140625" style="2" customWidth="1"/>
    <col min="2054" max="2054" width="25.6640625" style="2"/>
    <col min="2055" max="2055" width="25.33203125" style="2" bestFit="1" customWidth="1"/>
    <col min="2056" max="2056" width="24.33203125" style="2" bestFit="1" customWidth="1"/>
    <col min="2057" max="2057" width="16.44140625" style="2" bestFit="1" customWidth="1"/>
    <col min="2058" max="2058" width="13" style="2" bestFit="1" customWidth="1"/>
    <col min="2059" max="2059" width="11.109375" style="2" bestFit="1" customWidth="1"/>
    <col min="2060" max="2060" width="50.44140625" style="2" customWidth="1"/>
    <col min="2061" max="2061" width="24.6640625" style="2" bestFit="1" customWidth="1"/>
    <col min="2062" max="2062" width="24.88671875" style="2" bestFit="1" customWidth="1"/>
    <col min="2063" max="2063" width="25.44140625" style="2" bestFit="1" customWidth="1"/>
    <col min="2064" max="2064" width="25.33203125" style="2" bestFit="1" customWidth="1"/>
    <col min="2065" max="2065" width="14.6640625" style="2" bestFit="1" customWidth="1"/>
    <col min="2066" max="2066" width="25" style="2" bestFit="1" customWidth="1"/>
    <col min="2067" max="2304" width="25.6640625" style="2"/>
    <col min="2305" max="2305" width="5.44140625" style="2" customWidth="1"/>
    <col min="2306" max="2306" width="22.109375" style="2" bestFit="1" customWidth="1"/>
    <col min="2307" max="2307" width="21.109375" style="2" customWidth="1"/>
    <col min="2308" max="2308" width="24.6640625" style="2" bestFit="1" customWidth="1"/>
    <col min="2309" max="2309" width="30.44140625" style="2" customWidth="1"/>
    <col min="2310" max="2310" width="25.6640625" style="2"/>
    <col min="2311" max="2311" width="25.33203125" style="2" bestFit="1" customWidth="1"/>
    <col min="2312" max="2312" width="24.33203125" style="2" bestFit="1" customWidth="1"/>
    <col min="2313" max="2313" width="16.44140625" style="2" bestFit="1" customWidth="1"/>
    <col min="2314" max="2314" width="13" style="2" bestFit="1" customWidth="1"/>
    <col min="2315" max="2315" width="11.109375" style="2" bestFit="1" customWidth="1"/>
    <col min="2316" max="2316" width="50.44140625" style="2" customWidth="1"/>
    <col min="2317" max="2317" width="24.6640625" style="2" bestFit="1" customWidth="1"/>
    <col min="2318" max="2318" width="24.88671875" style="2" bestFit="1" customWidth="1"/>
    <col min="2319" max="2319" width="25.44140625" style="2" bestFit="1" customWidth="1"/>
    <col min="2320" max="2320" width="25.33203125" style="2" bestFit="1" customWidth="1"/>
    <col min="2321" max="2321" width="14.6640625" style="2" bestFit="1" customWidth="1"/>
    <col min="2322" max="2322" width="25" style="2" bestFit="1" customWidth="1"/>
    <col min="2323" max="2560" width="25.6640625" style="2"/>
    <col min="2561" max="2561" width="5.44140625" style="2" customWidth="1"/>
    <col min="2562" max="2562" width="22.109375" style="2" bestFit="1" customWidth="1"/>
    <col min="2563" max="2563" width="21.109375" style="2" customWidth="1"/>
    <col min="2564" max="2564" width="24.6640625" style="2" bestFit="1" customWidth="1"/>
    <col min="2565" max="2565" width="30.44140625" style="2" customWidth="1"/>
    <col min="2566" max="2566" width="25.6640625" style="2"/>
    <col min="2567" max="2567" width="25.33203125" style="2" bestFit="1" customWidth="1"/>
    <col min="2568" max="2568" width="24.33203125" style="2" bestFit="1" customWidth="1"/>
    <col min="2569" max="2569" width="16.44140625" style="2" bestFit="1" customWidth="1"/>
    <col min="2570" max="2570" width="13" style="2" bestFit="1" customWidth="1"/>
    <col min="2571" max="2571" width="11.109375" style="2" bestFit="1" customWidth="1"/>
    <col min="2572" max="2572" width="50.44140625" style="2" customWidth="1"/>
    <col min="2573" max="2573" width="24.6640625" style="2" bestFit="1" customWidth="1"/>
    <col min="2574" max="2574" width="24.88671875" style="2" bestFit="1" customWidth="1"/>
    <col min="2575" max="2575" width="25.44140625" style="2" bestFit="1" customWidth="1"/>
    <col min="2576" max="2576" width="25.33203125" style="2" bestFit="1" customWidth="1"/>
    <col min="2577" max="2577" width="14.6640625" style="2" bestFit="1" customWidth="1"/>
    <col min="2578" max="2578" width="25" style="2" bestFit="1" customWidth="1"/>
    <col min="2579" max="2816" width="25.6640625" style="2"/>
    <col min="2817" max="2817" width="5.44140625" style="2" customWidth="1"/>
    <col min="2818" max="2818" width="22.109375" style="2" bestFit="1" customWidth="1"/>
    <col min="2819" max="2819" width="21.109375" style="2" customWidth="1"/>
    <col min="2820" max="2820" width="24.6640625" style="2" bestFit="1" customWidth="1"/>
    <col min="2821" max="2821" width="30.44140625" style="2" customWidth="1"/>
    <col min="2822" max="2822" width="25.6640625" style="2"/>
    <col min="2823" max="2823" width="25.33203125" style="2" bestFit="1" customWidth="1"/>
    <col min="2824" max="2824" width="24.33203125" style="2" bestFit="1" customWidth="1"/>
    <col min="2825" max="2825" width="16.44140625" style="2" bestFit="1" customWidth="1"/>
    <col min="2826" max="2826" width="13" style="2" bestFit="1" customWidth="1"/>
    <col min="2827" max="2827" width="11.109375" style="2" bestFit="1" customWidth="1"/>
    <col min="2828" max="2828" width="50.44140625" style="2" customWidth="1"/>
    <col min="2829" max="2829" width="24.6640625" style="2" bestFit="1" customWidth="1"/>
    <col min="2830" max="2830" width="24.88671875" style="2" bestFit="1" customWidth="1"/>
    <col min="2831" max="2831" width="25.44140625" style="2" bestFit="1" customWidth="1"/>
    <col min="2832" max="2832" width="25.33203125" style="2" bestFit="1" customWidth="1"/>
    <col min="2833" max="2833" width="14.6640625" style="2" bestFit="1" customWidth="1"/>
    <col min="2834" max="2834" width="25" style="2" bestFit="1" customWidth="1"/>
    <col min="2835" max="3072" width="25.6640625" style="2"/>
    <col min="3073" max="3073" width="5.44140625" style="2" customWidth="1"/>
    <col min="3074" max="3074" width="22.109375" style="2" bestFit="1" customWidth="1"/>
    <col min="3075" max="3075" width="21.109375" style="2" customWidth="1"/>
    <col min="3076" max="3076" width="24.6640625" style="2" bestFit="1" customWidth="1"/>
    <col min="3077" max="3077" width="30.44140625" style="2" customWidth="1"/>
    <col min="3078" max="3078" width="25.6640625" style="2"/>
    <col min="3079" max="3079" width="25.33203125" style="2" bestFit="1" customWidth="1"/>
    <col min="3080" max="3080" width="24.33203125" style="2" bestFit="1" customWidth="1"/>
    <col min="3081" max="3081" width="16.44140625" style="2" bestFit="1" customWidth="1"/>
    <col min="3082" max="3082" width="13" style="2" bestFit="1" customWidth="1"/>
    <col min="3083" max="3083" width="11.109375" style="2" bestFit="1" customWidth="1"/>
    <col min="3084" max="3084" width="50.44140625" style="2" customWidth="1"/>
    <col min="3085" max="3085" width="24.6640625" style="2" bestFit="1" customWidth="1"/>
    <col min="3086" max="3086" width="24.88671875" style="2" bestFit="1" customWidth="1"/>
    <col min="3087" max="3087" width="25.44140625" style="2" bestFit="1" customWidth="1"/>
    <col min="3088" max="3088" width="25.33203125" style="2" bestFit="1" customWidth="1"/>
    <col min="3089" max="3089" width="14.6640625" style="2" bestFit="1" customWidth="1"/>
    <col min="3090" max="3090" width="25" style="2" bestFit="1" customWidth="1"/>
    <col min="3091" max="3328" width="25.6640625" style="2"/>
    <col min="3329" max="3329" width="5.44140625" style="2" customWidth="1"/>
    <col min="3330" max="3330" width="22.109375" style="2" bestFit="1" customWidth="1"/>
    <col min="3331" max="3331" width="21.109375" style="2" customWidth="1"/>
    <col min="3332" max="3332" width="24.6640625" style="2" bestFit="1" customWidth="1"/>
    <col min="3333" max="3333" width="30.44140625" style="2" customWidth="1"/>
    <col min="3334" max="3334" width="25.6640625" style="2"/>
    <col min="3335" max="3335" width="25.33203125" style="2" bestFit="1" customWidth="1"/>
    <col min="3336" max="3336" width="24.33203125" style="2" bestFit="1" customWidth="1"/>
    <col min="3337" max="3337" width="16.44140625" style="2" bestFit="1" customWidth="1"/>
    <col min="3338" max="3338" width="13" style="2" bestFit="1" customWidth="1"/>
    <col min="3339" max="3339" width="11.109375" style="2" bestFit="1" customWidth="1"/>
    <col min="3340" max="3340" width="50.44140625" style="2" customWidth="1"/>
    <col min="3341" max="3341" width="24.6640625" style="2" bestFit="1" customWidth="1"/>
    <col min="3342" max="3342" width="24.88671875" style="2" bestFit="1" customWidth="1"/>
    <col min="3343" max="3343" width="25.44140625" style="2" bestFit="1" customWidth="1"/>
    <col min="3344" max="3344" width="25.33203125" style="2" bestFit="1" customWidth="1"/>
    <col min="3345" max="3345" width="14.6640625" style="2" bestFit="1" customWidth="1"/>
    <col min="3346" max="3346" width="25" style="2" bestFit="1" customWidth="1"/>
    <col min="3347" max="3584" width="25.6640625" style="2"/>
    <col min="3585" max="3585" width="5.44140625" style="2" customWidth="1"/>
    <col min="3586" max="3586" width="22.109375" style="2" bestFit="1" customWidth="1"/>
    <col min="3587" max="3587" width="21.109375" style="2" customWidth="1"/>
    <col min="3588" max="3588" width="24.6640625" style="2" bestFit="1" customWidth="1"/>
    <col min="3589" max="3589" width="30.44140625" style="2" customWidth="1"/>
    <col min="3590" max="3590" width="25.6640625" style="2"/>
    <col min="3591" max="3591" width="25.33203125" style="2" bestFit="1" customWidth="1"/>
    <col min="3592" max="3592" width="24.33203125" style="2" bestFit="1" customWidth="1"/>
    <col min="3593" max="3593" width="16.44140625" style="2" bestFit="1" customWidth="1"/>
    <col min="3594" max="3594" width="13" style="2" bestFit="1" customWidth="1"/>
    <col min="3595" max="3595" width="11.109375" style="2" bestFit="1" customWidth="1"/>
    <col min="3596" max="3596" width="50.44140625" style="2" customWidth="1"/>
    <col min="3597" max="3597" width="24.6640625" style="2" bestFit="1" customWidth="1"/>
    <col min="3598" max="3598" width="24.88671875" style="2" bestFit="1" customWidth="1"/>
    <col min="3599" max="3599" width="25.44140625" style="2" bestFit="1" customWidth="1"/>
    <col min="3600" max="3600" width="25.33203125" style="2" bestFit="1" customWidth="1"/>
    <col min="3601" max="3601" width="14.6640625" style="2" bestFit="1" customWidth="1"/>
    <col min="3602" max="3602" width="25" style="2" bestFit="1" customWidth="1"/>
    <col min="3603" max="3840" width="25.6640625" style="2"/>
    <col min="3841" max="3841" width="5.44140625" style="2" customWidth="1"/>
    <col min="3842" max="3842" width="22.109375" style="2" bestFit="1" customWidth="1"/>
    <col min="3843" max="3843" width="21.109375" style="2" customWidth="1"/>
    <col min="3844" max="3844" width="24.6640625" style="2" bestFit="1" customWidth="1"/>
    <col min="3845" max="3845" width="30.44140625" style="2" customWidth="1"/>
    <col min="3846" max="3846" width="25.6640625" style="2"/>
    <col min="3847" max="3847" width="25.33203125" style="2" bestFit="1" customWidth="1"/>
    <col min="3848" max="3848" width="24.33203125" style="2" bestFit="1" customWidth="1"/>
    <col min="3849" max="3849" width="16.44140625" style="2" bestFit="1" customWidth="1"/>
    <col min="3850" max="3850" width="13" style="2" bestFit="1" customWidth="1"/>
    <col min="3851" max="3851" width="11.109375" style="2" bestFit="1" customWidth="1"/>
    <col min="3852" max="3852" width="50.44140625" style="2" customWidth="1"/>
    <col min="3853" max="3853" width="24.6640625" style="2" bestFit="1" customWidth="1"/>
    <col min="3854" max="3854" width="24.88671875" style="2" bestFit="1" customWidth="1"/>
    <col min="3855" max="3855" width="25.44140625" style="2" bestFit="1" customWidth="1"/>
    <col min="3856" max="3856" width="25.33203125" style="2" bestFit="1" customWidth="1"/>
    <col min="3857" max="3857" width="14.6640625" style="2" bestFit="1" customWidth="1"/>
    <col min="3858" max="3858" width="25" style="2" bestFit="1" customWidth="1"/>
    <col min="3859" max="4096" width="25.6640625" style="2"/>
    <col min="4097" max="4097" width="5.44140625" style="2" customWidth="1"/>
    <col min="4098" max="4098" width="22.109375" style="2" bestFit="1" customWidth="1"/>
    <col min="4099" max="4099" width="21.109375" style="2" customWidth="1"/>
    <col min="4100" max="4100" width="24.6640625" style="2" bestFit="1" customWidth="1"/>
    <col min="4101" max="4101" width="30.44140625" style="2" customWidth="1"/>
    <col min="4102" max="4102" width="25.6640625" style="2"/>
    <col min="4103" max="4103" width="25.33203125" style="2" bestFit="1" customWidth="1"/>
    <col min="4104" max="4104" width="24.33203125" style="2" bestFit="1" customWidth="1"/>
    <col min="4105" max="4105" width="16.44140625" style="2" bestFit="1" customWidth="1"/>
    <col min="4106" max="4106" width="13" style="2" bestFit="1" customWidth="1"/>
    <col min="4107" max="4107" width="11.109375" style="2" bestFit="1" customWidth="1"/>
    <col min="4108" max="4108" width="50.44140625" style="2" customWidth="1"/>
    <col min="4109" max="4109" width="24.6640625" style="2" bestFit="1" customWidth="1"/>
    <col min="4110" max="4110" width="24.88671875" style="2" bestFit="1" customWidth="1"/>
    <col min="4111" max="4111" width="25.44140625" style="2" bestFit="1" customWidth="1"/>
    <col min="4112" max="4112" width="25.33203125" style="2" bestFit="1" customWidth="1"/>
    <col min="4113" max="4113" width="14.6640625" style="2" bestFit="1" customWidth="1"/>
    <col min="4114" max="4114" width="25" style="2" bestFit="1" customWidth="1"/>
    <col min="4115" max="4352" width="25.6640625" style="2"/>
    <col min="4353" max="4353" width="5.44140625" style="2" customWidth="1"/>
    <col min="4354" max="4354" width="22.109375" style="2" bestFit="1" customWidth="1"/>
    <col min="4355" max="4355" width="21.109375" style="2" customWidth="1"/>
    <col min="4356" max="4356" width="24.6640625" style="2" bestFit="1" customWidth="1"/>
    <col min="4357" max="4357" width="30.44140625" style="2" customWidth="1"/>
    <col min="4358" max="4358" width="25.6640625" style="2"/>
    <col min="4359" max="4359" width="25.33203125" style="2" bestFit="1" customWidth="1"/>
    <col min="4360" max="4360" width="24.33203125" style="2" bestFit="1" customWidth="1"/>
    <col min="4361" max="4361" width="16.44140625" style="2" bestFit="1" customWidth="1"/>
    <col min="4362" max="4362" width="13" style="2" bestFit="1" customWidth="1"/>
    <col min="4363" max="4363" width="11.109375" style="2" bestFit="1" customWidth="1"/>
    <col min="4364" max="4364" width="50.44140625" style="2" customWidth="1"/>
    <col min="4365" max="4365" width="24.6640625" style="2" bestFit="1" customWidth="1"/>
    <col min="4366" max="4366" width="24.88671875" style="2" bestFit="1" customWidth="1"/>
    <col min="4367" max="4367" width="25.44140625" style="2" bestFit="1" customWidth="1"/>
    <col min="4368" max="4368" width="25.33203125" style="2" bestFit="1" customWidth="1"/>
    <col min="4369" max="4369" width="14.6640625" style="2" bestFit="1" customWidth="1"/>
    <col min="4370" max="4370" width="25" style="2" bestFit="1" customWidth="1"/>
    <col min="4371" max="4608" width="25.6640625" style="2"/>
    <col min="4609" max="4609" width="5.44140625" style="2" customWidth="1"/>
    <col min="4610" max="4610" width="22.109375" style="2" bestFit="1" customWidth="1"/>
    <col min="4611" max="4611" width="21.109375" style="2" customWidth="1"/>
    <col min="4612" max="4612" width="24.6640625" style="2" bestFit="1" customWidth="1"/>
    <col min="4613" max="4613" width="30.44140625" style="2" customWidth="1"/>
    <col min="4614" max="4614" width="25.6640625" style="2"/>
    <col min="4615" max="4615" width="25.33203125" style="2" bestFit="1" customWidth="1"/>
    <col min="4616" max="4616" width="24.33203125" style="2" bestFit="1" customWidth="1"/>
    <col min="4617" max="4617" width="16.44140625" style="2" bestFit="1" customWidth="1"/>
    <col min="4618" max="4618" width="13" style="2" bestFit="1" customWidth="1"/>
    <col min="4619" max="4619" width="11.109375" style="2" bestFit="1" customWidth="1"/>
    <col min="4620" max="4620" width="50.44140625" style="2" customWidth="1"/>
    <col min="4621" max="4621" width="24.6640625" style="2" bestFit="1" customWidth="1"/>
    <col min="4622" max="4622" width="24.88671875" style="2" bestFit="1" customWidth="1"/>
    <col min="4623" max="4623" width="25.44140625" style="2" bestFit="1" customWidth="1"/>
    <col min="4624" max="4624" width="25.33203125" style="2" bestFit="1" customWidth="1"/>
    <col min="4625" max="4625" width="14.6640625" style="2" bestFit="1" customWidth="1"/>
    <col min="4626" max="4626" width="25" style="2" bestFit="1" customWidth="1"/>
    <col min="4627" max="4864" width="25.6640625" style="2"/>
    <col min="4865" max="4865" width="5.44140625" style="2" customWidth="1"/>
    <col min="4866" max="4866" width="22.109375" style="2" bestFit="1" customWidth="1"/>
    <col min="4867" max="4867" width="21.109375" style="2" customWidth="1"/>
    <col min="4868" max="4868" width="24.6640625" style="2" bestFit="1" customWidth="1"/>
    <col min="4869" max="4869" width="30.44140625" style="2" customWidth="1"/>
    <col min="4870" max="4870" width="25.6640625" style="2"/>
    <col min="4871" max="4871" width="25.33203125" style="2" bestFit="1" customWidth="1"/>
    <col min="4872" max="4872" width="24.33203125" style="2" bestFit="1" customWidth="1"/>
    <col min="4873" max="4873" width="16.44140625" style="2" bestFit="1" customWidth="1"/>
    <col min="4874" max="4874" width="13" style="2" bestFit="1" customWidth="1"/>
    <col min="4875" max="4875" width="11.109375" style="2" bestFit="1" customWidth="1"/>
    <col min="4876" max="4876" width="50.44140625" style="2" customWidth="1"/>
    <col min="4877" max="4877" width="24.6640625" style="2" bestFit="1" customWidth="1"/>
    <col min="4878" max="4878" width="24.88671875" style="2" bestFit="1" customWidth="1"/>
    <col min="4879" max="4879" width="25.44140625" style="2" bestFit="1" customWidth="1"/>
    <col min="4880" max="4880" width="25.33203125" style="2" bestFit="1" customWidth="1"/>
    <col min="4881" max="4881" width="14.6640625" style="2" bestFit="1" customWidth="1"/>
    <col min="4882" max="4882" width="25" style="2" bestFit="1" customWidth="1"/>
    <col min="4883" max="5120" width="25.6640625" style="2"/>
    <col min="5121" max="5121" width="5.44140625" style="2" customWidth="1"/>
    <col min="5122" max="5122" width="22.109375" style="2" bestFit="1" customWidth="1"/>
    <col min="5123" max="5123" width="21.109375" style="2" customWidth="1"/>
    <col min="5124" max="5124" width="24.6640625" style="2" bestFit="1" customWidth="1"/>
    <col min="5125" max="5125" width="30.44140625" style="2" customWidth="1"/>
    <col min="5126" max="5126" width="25.6640625" style="2"/>
    <col min="5127" max="5127" width="25.33203125" style="2" bestFit="1" customWidth="1"/>
    <col min="5128" max="5128" width="24.33203125" style="2" bestFit="1" customWidth="1"/>
    <col min="5129" max="5129" width="16.44140625" style="2" bestFit="1" customWidth="1"/>
    <col min="5130" max="5130" width="13" style="2" bestFit="1" customWidth="1"/>
    <col min="5131" max="5131" width="11.109375" style="2" bestFit="1" customWidth="1"/>
    <col min="5132" max="5132" width="50.44140625" style="2" customWidth="1"/>
    <col min="5133" max="5133" width="24.6640625" style="2" bestFit="1" customWidth="1"/>
    <col min="5134" max="5134" width="24.88671875" style="2" bestFit="1" customWidth="1"/>
    <col min="5135" max="5135" width="25.44140625" style="2" bestFit="1" customWidth="1"/>
    <col min="5136" max="5136" width="25.33203125" style="2" bestFit="1" customWidth="1"/>
    <col min="5137" max="5137" width="14.6640625" style="2" bestFit="1" customWidth="1"/>
    <col min="5138" max="5138" width="25" style="2" bestFit="1" customWidth="1"/>
    <col min="5139" max="5376" width="25.6640625" style="2"/>
    <col min="5377" max="5377" width="5.44140625" style="2" customWidth="1"/>
    <col min="5378" max="5378" width="22.109375" style="2" bestFit="1" customWidth="1"/>
    <col min="5379" max="5379" width="21.109375" style="2" customWidth="1"/>
    <col min="5380" max="5380" width="24.6640625" style="2" bestFit="1" customWidth="1"/>
    <col min="5381" max="5381" width="30.44140625" style="2" customWidth="1"/>
    <col min="5382" max="5382" width="25.6640625" style="2"/>
    <col min="5383" max="5383" width="25.33203125" style="2" bestFit="1" customWidth="1"/>
    <col min="5384" max="5384" width="24.33203125" style="2" bestFit="1" customWidth="1"/>
    <col min="5385" max="5385" width="16.44140625" style="2" bestFit="1" customWidth="1"/>
    <col min="5386" max="5386" width="13" style="2" bestFit="1" customWidth="1"/>
    <col min="5387" max="5387" width="11.109375" style="2" bestFit="1" customWidth="1"/>
    <col min="5388" max="5388" width="50.44140625" style="2" customWidth="1"/>
    <col min="5389" max="5389" width="24.6640625" style="2" bestFit="1" customWidth="1"/>
    <col min="5390" max="5390" width="24.88671875" style="2" bestFit="1" customWidth="1"/>
    <col min="5391" max="5391" width="25.44140625" style="2" bestFit="1" customWidth="1"/>
    <col min="5392" max="5392" width="25.33203125" style="2" bestFit="1" customWidth="1"/>
    <col min="5393" max="5393" width="14.6640625" style="2" bestFit="1" customWidth="1"/>
    <col min="5394" max="5394" width="25" style="2" bestFit="1" customWidth="1"/>
    <col min="5395" max="5632" width="25.6640625" style="2"/>
    <col min="5633" max="5633" width="5.44140625" style="2" customWidth="1"/>
    <col min="5634" max="5634" width="22.109375" style="2" bestFit="1" customWidth="1"/>
    <col min="5635" max="5635" width="21.109375" style="2" customWidth="1"/>
    <col min="5636" max="5636" width="24.6640625" style="2" bestFit="1" customWidth="1"/>
    <col min="5637" max="5637" width="30.44140625" style="2" customWidth="1"/>
    <col min="5638" max="5638" width="25.6640625" style="2"/>
    <col min="5639" max="5639" width="25.33203125" style="2" bestFit="1" customWidth="1"/>
    <col min="5640" max="5640" width="24.33203125" style="2" bestFit="1" customWidth="1"/>
    <col min="5641" max="5641" width="16.44140625" style="2" bestFit="1" customWidth="1"/>
    <col min="5642" max="5642" width="13" style="2" bestFit="1" customWidth="1"/>
    <col min="5643" max="5643" width="11.109375" style="2" bestFit="1" customWidth="1"/>
    <col min="5644" max="5644" width="50.44140625" style="2" customWidth="1"/>
    <col min="5645" max="5645" width="24.6640625" style="2" bestFit="1" customWidth="1"/>
    <col min="5646" max="5646" width="24.88671875" style="2" bestFit="1" customWidth="1"/>
    <col min="5647" max="5647" width="25.44140625" style="2" bestFit="1" customWidth="1"/>
    <col min="5648" max="5648" width="25.33203125" style="2" bestFit="1" customWidth="1"/>
    <col min="5649" max="5649" width="14.6640625" style="2" bestFit="1" customWidth="1"/>
    <col min="5650" max="5650" width="25" style="2" bestFit="1" customWidth="1"/>
    <col min="5651" max="5888" width="25.6640625" style="2"/>
    <col min="5889" max="5889" width="5.44140625" style="2" customWidth="1"/>
    <col min="5890" max="5890" width="22.109375" style="2" bestFit="1" customWidth="1"/>
    <col min="5891" max="5891" width="21.109375" style="2" customWidth="1"/>
    <col min="5892" max="5892" width="24.6640625" style="2" bestFit="1" customWidth="1"/>
    <col min="5893" max="5893" width="30.44140625" style="2" customWidth="1"/>
    <col min="5894" max="5894" width="25.6640625" style="2"/>
    <col min="5895" max="5895" width="25.33203125" style="2" bestFit="1" customWidth="1"/>
    <col min="5896" max="5896" width="24.33203125" style="2" bestFit="1" customWidth="1"/>
    <col min="5897" max="5897" width="16.44140625" style="2" bestFit="1" customWidth="1"/>
    <col min="5898" max="5898" width="13" style="2" bestFit="1" customWidth="1"/>
    <col min="5899" max="5899" width="11.109375" style="2" bestFit="1" customWidth="1"/>
    <col min="5900" max="5900" width="50.44140625" style="2" customWidth="1"/>
    <col min="5901" max="5901" width="24.6640625" style="2" bestFit="1" customWidth="1"/>
    <col min="5902" max="5902" width="24.88671875" style="2" bestFit="1" customWidth="1"/>
    <col min="5903" max="5903" width="25.44140625" style="2" bestFit="1" customWidth="1"/>
    <col min="5904" max="5904" width="25.33203125" style="2" bestFit="1" customWidth="1"/>
    <col min="5905" max="5905" width="14.6640625" style="2" bestFit="1" customWidth="1"/>
    <col min="5906" max="5906" width="25" style="2" bestFit="1" customWidth="1"/>
    <col min="5907" max="6144" width="25.6640625" style="2"/>
    <col min="6145" max="6145" width="5.44140625" style="2" customWidth="1"/>
    <col min="6146" max="6146" width="22.109375" style="2" bestFit="1" customWidth="1"/>
    <col min="6147" max="6147" width="21.109375" style="2" customWidth="1"/>
    <col min="6148" max="6148" width="24.6640625" style="2" bestFit="1" customWidth="1"/>
    <col min="6149" max="6149" width="30.44140625" style="2" customWidth="1"/>
    <col min="6150" max="6150" width="25.6640625" style="2"/>
    <col min="6151" max="6151" width="25.33203125" style="2" bestFit="1" customWidth="1"/>
    <col min="6152" max="6152" width="24.33203125" style="2" bestFit="1" customWidth="1"/>
    <col min="6153" max="6153" width="16.44140625" style="2" bestFit="1" customWidth="1"/>
    <col min="6154" max="6154" width="13" style="2" bestFit="1" customWidth="1"/>
    <col min="6155" max="6155" width="11.109375" style="2" bestFit="1" customWidth="1"/>
    <col min="6156" max="6156" width="50.44140625" style="2" customWidth="1"/>
    <col min="6157" max="6157" width="24.6640625" style="2" bestFit="1" customWidth="1"/>
    <col min="6158" max="6158" width="24.88671875" style="2" bestFit="1" customWidth="1"/>
    <col min="6159" max="6159" width="25.44140625" style="2" bestFit="1" customWidth="1"/>
    <col min="6160" max="6160" width="25.33203125" style="2" bestFit="1" customWidth="1"/>
    <col min="6161" max="6161" width="14.6640625" style="2" bestFit="1" customWidth="1"/>
    <col min="6162" max="6162" width="25" style="2" bestFit="1" customWidth="1"/>
    <col min="6163" max="6400" width="25.6640625" style="2"/>
    <col min="6401" max="6401" width="5.44140625" style="2" customWidth="1"/>
    <col min="6402" max="6402" width="22.109375" style="2" bestFit="1" customWidth="1"/>
    <col min="6403" max="6403" width="21.109375" style="2" customWidth="1"/>
    <col min="6404" max="6404" width="24.6640625" style="2" bestFit="1" customWidth="1"/>
    <col min="6405" max="6405" width="30.44140625" style="2" customWidth="1"/>
    <col min="6406" max="6406" width="25.6640625" style="2"/>
    <col min="6407" max="6407" width="25.33203125" style="2" bestFit="1" customWidth="1"/>
    <col min="6408" max="6408" width="24.33203125" style="2" bestFit="1" customWidth="1"/>
    <col min="6409" max="6409" width="16.44140625" style="2" bestFit="1" customWidth="1"/>
    <col min="6410" max="6410" width="13" style="2" bestFit="1" customWidth="1"/>
    <col min="6411" max="6411" width="11.109375" style="2" bestFit="1" customWidth="1"/>
    <col min="6412" max="6412" width="50.44140625" style="2" customWidth="1"/>
    <col min="6413" max="6413" width="24.6640625" style="2" bestFit="1" customWidth="1"/>
    <col min="6414" max="6414" width="24.88671875" style="2" bestFit="1" customWidth="1"/>
    <col min="6415" max="6415" width="25.44140625" style="2" bestFit="1" customWidth="1"/>
    <col min="6416" max="6416" width="25.33203125" style="2" bestFit="1" customWidth="1"/>
    <col min="6417" max="6417" width="14.6640625" style="2" bestFit="1" customWidth="1"/>
    <col min="6418" max="6418" width="25" style="2" bestFit="1" customWidth="1"/>
    <col min="6419" max="6656" width="25.6640625" style="2"/>
    <col min="6657" max="6657" width="5.44140625" style="2" customWidth="1"/>
    <col min="6658" max="6658" width="22.109375" style="2" bestFit="1" customWidth="1"/>
    <col min="6659" max="6659" width="21.109375" style="2" customWidth="1"/>
    <col min="6660" max="6660" width="24.6640625" style="2" bestFit="1" customWidth="1"/>
    <col min="6661" max="6661" width="30.44140625" style="2" customWidth="1"/>
    <col min="6662" max="6662" width="25.6640625" style="2"/>
    <col min="6663" max="6663" width="25.33203125" style="2" bestFit="1" customWidth="1"/>
    <col min="6664" max="6664" width="24.33203125" style="2" bestFit="1" customWidth="1"/>
    <col min="6665" max="6665" width="16.44140625" style="2" bestFit="1" customWidth="1"/>
    <col min="6666" max="6666" width="13" style="2" bestFit="1" customWidth="1"/>
    <col min="6667" max="6667" width="11.109375" style="2" bestFit="1" customWidth="1"/>
    <col min="6668" max="6668" width="50.44140625" style="2" customWidth="1"/>
    <col min="6669" max="6669" width="24.6640625" style="2" bestFit="1" customWidth="1"/>
    <col min="6670" max="6670" width="24.88671875" style="2" bestFit="1" customWidth="1"/>
    <col min="6671" max="6671" width="25.44140625" style="2" bestFit="1" customWidth="1"/>
    <col min="6672" max="6672" width="25.33203125" style="2" bestFit="1" customWidth="1"/>
    <col min="6673" max="6673" width="14.6640625" style="2" bestFit="1" customWidth="1"/>
    <col min="6674" max="6674" width="25" style="2" bestFit="1" customWidth="1"/>
    <col min="6675" max="6912" width="25.6640625" style="2"/>
    <col min="6913" max="6913" width="5.44140625" style="2" customWidth="1"/>
    <col min="6914" max="6914" width="22.109375" style="2" bestFit="1" customWidth="1"/>
    <col min="6915" max="6915" width="21.109375" style="2" customWidth="1"/>
    <col min="6916" max="6916" width="24.6640625" style="2" bestFit="1" customWidth="1"/>
    <col min="6917" max="6917" width="30.44140625" style="2" customWidth="1"/>
    <col min="6918" max="6918" width="25.6640625" style="2"/>
    <col min="6919" max="6919" width="25.33203125" style="2" bestFit="1" customWidth="1"/>
    <col min="6920" max="6920" width="24.33203125" style="2" bestFit="1" customWidth="1"/>
    <col min="6921" max="6921" width="16.44140625" style="2" bestFit="1" customWidth="1"/>
    <col min="6922" max="6922" width="13" style="2" bestFit="1" customWidth="1"/>
    <col min="6923" max="6923" width="11.109375" style="2" bestFit="1" customWidth="1"/>
    <col min="6924" max="6924" width="50.44140625" style="2" customWidth="1"/>
    <col min="6925" max="6925" width="24.6640625" style="2" bestFit="1" customWidth="1"/>
    <col min="6926" max="6926" width="24.88671875" style="2" bestFit="1" customWidth="1"/>
    <col min="6927" max="6927" width="25.44140625" style="2" bestFit="1" customWidth="1"/>
    <col min="6928" max="6928" width="25.33203125" style="2" bestFit="1" customWidth="1"/>
    <col min="6929" max="6929" width="14.6640625" style="2" bestFit="1" customWidth="1"/>
    <col min="6930" max="6930" width="25" style="2" bestFit="1" customWidth="1"/>
    <col min="6931" max="7168" width="25.6640625" style="2"/>
    <col min="7169" max="7169" width="5.44140625" style="2" customWidth="1"/>
    <col min="7170" max="7170" width="22.109375" style="2" bestFit="1" customWidth="1"/>
    <col min="7171" max="7171" width="21.109375" style="2" customWidth="1"/>
    <col min="7172" max="7172" width="24.6640625" style="2" bestFit="1" customWidth="1"/>
    <col min="7173" max="7173" width="30.44140625" style="2" customWidth="1"/>
    <col min="7174" max="7174" width="25.6640625" style="2"/>
    <col min="7175" max="7175" width="25.33203125" style="2" bestFit="1" customWidth="1"/>
    <col min="7176" max="7176" width="24.33203125" style="2" bestFit="1" customWidth="1"/>
    <col min="7177" max="7177" width="16.44140625" style="2" bestFit="1" customWidth="1"/>
    <col min="7178" max="7178" width="13" style="2" bestFit="1" customWidth="1"/>
    <col min="7179" max="7179" width="11.109375" style="2" bestFit="1" customWidth="1"/>
    <col min="7180" max="7180" width="50.44140625" style="2" customWidth="1"/>
    <col min="7181" max="7181" width="24.6640625" style="2" bestFit="1" customWidth="1"/>
    <col min="7182" max="7182" width="24.88671875" style="2" bestFit="1" customWidth="1"/>
    <col min="7183" max="7183" width="25.44140625" style="2" bestFit="1" customWidth="1"/>
    <col min="7184" max="7184" width="25.33203125" style="2" bestFit="1" customWidth="1"/>
    <col min="7185" max="7185" width="14.6640625" style="2" bestFit="1" customWidth="1"/>
    <col min="7186" max="7186" width="25" style="2" bestFit="1" customWidth="1"/>
    <col min="7187" max="7424" width="25.6640625" style="2"/>
    <col min="7425" max="7425" width="5.44140625" style="2" customWidth="1"/>
    <col min="7426" max="7426" width="22.109375" style="2" bestFit="1" customWidth="1"/>
    <col min="7427" max="7427" width="21.109375" style="2" customWidth="1"/>
    <col min="7428" max="7428" width="24.6640625" style="2" bestFit="1" customWidth="1"/>
    <col min="7429" max="7429" width="30.44140625" style="2" customWidth="1"/>
    <col min="7430" max="7430" width="25.6640625" style="2"/>
    <col min="7431" max="7431" width="25.33203125" style="2" bestFit="1" customWidth="1"/>
    <col min="7432" max="7432" width="24.33203125" style="2" bestFit="1" customWidth="1"/>
    <col min="7433" max="7433" width="16.44140625" style="2" bestFit="1" customWidth="1"/>
    <col min="7434" max="7434" width="13" style="2" bestFit="1" customWidth="1"/>
    <col min="7435" max="7435" width="11.109375" style="2" bestFit="1" customWidth="1"/>
    <col min="7436" max="7436" width="50.44140625" style="2" customWidth="1"/>
    <col min="7437" max="7437" width="24.6640625" style="2" bestFit="1" customWidth="1"/>
    <col min="7438" max="7438" width="24.88671875" style="2" bestFit="1" customWidth="1"/>
    <col min="7439" max="7439" width="25.44140625" style="2" bestFit="1" customWidth="1"/>
    <col min="7440" max="7440" width="25.33203125" style="2" bestFit="1" customWidth="1"/>
    <col min="7441" max="7441" width="14.6640625" style="2" bestFit="1" customWidth="1"/>
    <col min="7442" max="7442" width="25" style="2" bestFit="1" customWidth="1"/>
    <col min="7443" max="7680" width="25.6640625" style="2"/>
    <col min="7681" max="7681" width="5.44140625" style="2" customWidth="1"/>
    <col min="7682" max="7682" width="22.109375" style="2" bestFit="1" customWidth="1"/>
    <col min="7683" max="7683" width="21.109375" style="2" customWidth="1"/>
    <col min="7684" max="7684" width="24.6640625" style="2" bestFit="1" customWidth="1"/>
    <col min="7685" max="7685" width="30.44140625" style="2" customWidth="1"/>
    <col min="7686" max="7686" width="25.6640625" style="2"/>
    <col min="7687" max="7687" width="25.33203125" style="2" bestFit="1" customWidth="1"/>
    <col min="7688" max="7688" width="24.33203125" style="2" bestFit="1" customWidth="1"/>
    <col min="7689" max="7689" width="16.44140625" style="2" bestFit="1" customWidth="1"/>
    <col min="7690" max="7690" width="13" style="2" bestFit="1" customWidth="1"/>
    <col min="7691" max="7691" width="11.109375" style="2" bestFit="1" customWidth="1"/>
    <col min="7692" max="7692" width="50.44140625" style="2" customWidth="1"/>
    <col min="7693" max="7693" width="24.6640625" style="2" bestFit="1" customWidth="1"/>
    <col min="7694" max="7694" width="24.88671875" style="2" bestFit="1" customWidth="1"/>
    <col min="7695" max="7695" width="25.44140625" style="2" bestFit="1" customWidth="1"/>
    <col min="7696" max="7696" width="25.33203125" style="2" bestFit="1" customWidth="1"/>
    <col min="7697" max="7697" width="14.6640625" style="2" bestFit="1" customWidth="1"/>
    <col min="7698" max="7698" width="25" style="2" bestFit="1" customWidth="1"/>
    <col min="7699" max="7936" width="25.6640625" style="2"/>
    <col min="7937" max="7937" width="5.44140625" style="2" customWidth="1"/>
    <col min="7938" max="7938" width="22.109375" style="2" bestFit="1" customWidth="1"/>
    <col min="7939" max="7939" width="21.109375" style="2" customWidth="1"/>
    <col min="7940" max="7940" width="24.6640625" style="2" bestFit="1" customWidth="1"/>
    <col min="7941" max="7941" width="30.44140625" style="2" customWidth="1"/>
    <col min="7942" max="7942" width="25.6640625" style="2"/>
    <col min="7943" max="7943" width="25.33203125" style="2" bestFit="1" customWidth="1"/>
    <col min="7944" max="7944" width="24.33203125" style="2" bestFit="1" customWidth="1"/>
    <col min="7945" max="7945" width="16.44140625" style="2" bestFit="1" customWidth="1"/>
    <col min="7946" max="7946" width="13" style="2" bestFit="1" customWidth="1"/>
    <col min="7947" max="7947" width="11.109375" style="2" bestFit="1" customWidth="1"/>
    <col min="7948" max="7948" width="50.44140625" style="2" customWidth="1"/>
    <col min="7949" max="7949" width="24.6640625" style="2" bestFit="1" customWidth="1"/>
    <col min="7950" max="7950" width="24.88671875" style="2" bestFit="1" customWidth="1"/>
    <col min="7951" max="7951" width="25.44140625" style="2" bestFit="1" customWidth="1"/>
    <col min="7952" max="7952" width="25.33203125" style="2" bestFit="1" customWidth="1"/>
    <col min="7953" max="7953" width="14.6640625" style="2" bestFit="1" customWidth="1"/>
    <col min="7954" max="7954" width="25" style="2" bestFit="1" customWidth="1"/>
    <col min="7955" max="8192" width="25.6640625" style="2"/>
    <col min="8193" max="8193" width="5.44140625" style="2" customWidth="1"/>
    <col min="8194" max="8194" width="22.109375" style="2" bestFit="1" customWidth="1"/>
    <col min="8195" max="8195" width="21.109375" style="2" customWidth="1"/>
    <col min="8196" max="8196" width="24.6640625" style="2" bestFit="1" customWidth="1"/>
    <col min="8197" max="8197" width="30.44140625" style="2" customWidth="1"/>
    <col min="8198" max="8198" width="25.6640625" style="2"/>
    <col min="8199" max="8199" width="25.33203125" style="2" bestFit="1" customWidth="1"/>
    <col min="8200" max="8200" width="24.33203125" style="2" bestFit="1" customWidth="1"/>
    <col min="8201" max="8201" width="16.44140625" style="2" bestFit="1" customWidth="1"/>
    <col min="8202" max="8202" width="13" style="2" bestFit="1" customWidth="1"/>
    <col min="8203" max="8203" width="11.109375" style="2" bestFit="1" customWidth="1"/>
    <col min="8204" max="8204" width="50.44140625" style="2" customWidth="1"/>
    <col min="8205" max="8205" width="24.6640625" style="2" bestFit="1" customWidth="1"/>
    <col min="8206" max="8206" width="24.88671875" style="2" bestFit="1" customWidth="1"/>
    <col min="8207" max="8207" width="25.44140625" style="2" bestFit="1" customWidth="1"/>
    <col min="8208" max="8208" width="25.33203125" style="2" bestFit="1" customWidth="1"/>
    <col min="8209" max="8209" width="14.6640625" style="2" bestFit="1" customWidth="1"/>
    <col min="8210" max="8210" width="25" style="2" bestFit="1" customWidth="1"/>
    <col min="8211" max="8448" width="25.6640625" style="2"/>
    <col min="8449" max="8449" width="5.44140625" style="2" customWidth="1"/>
    <col min="8450" max="8450" width="22.109375" style="2" bestFit="1" customWidth="1"/>
    <col min="8451" max="8451" width="21.109375" style="2" customWidth="1"/>
    <col min="8452" max="8452" width="24.6640625" style="2" bestFit="1" customWidth="1"/>
    <col min="8453" max="8453" width="30.44140625" style="2" customWidth="1"/>
    <col min="8454" max="8454" width="25.6640625" style="2"/>
    <col min="8455" max="8455" width="25.33203125" style="2" bestFit="1" customWidth="1"/>
    <col min="8456" max="8456" width="24.33203125" style="2" bestFit="1" customWidth="1"/>
    <col min="8457" max="8457" width="16.44140625" style="2" bestFit="1" customWidth="1"/>
    <col min="8458" max="8458" width="13" style="2" bestFit="1" customWidth="1"/>
    <col min="8459" max="8459" width="11.109375" style="2" bestFit="1" customWidth="1"/>
    <col min="8460" max="8460" width="50.44140625" style="2" customWidth="1"/>
    <col min="8461" max="8461" width="24.6640625" style="2" bestFit="1" customWidth="1"/>
    <col min="8462" max="8462" width="24.88671875" style="2" bestFit="1" customWidth="1"/>
    <col min="8463" max="8463" width="25.44140625" style="2" bestFit="1" customWidth="1"/>
    <col min="8464" max="8464" width="25.33203125" style="2" bestFit="1" customWidth="1"/>
    <col min="8465" max="8465" width="14.6640625" style="2" bestFit="1" customWidth="1"/>
    <col min="8466" max="8466" width="25" style="2" bestFit="1" customWidth="1"/>
    <col min="8467" max="8704" width="25.6640625" style="2"/>
    <col min="8705" max="8705" width="5.44140625" style="2" customWidth="1"/>
    <col min="8706" max="8706" width="22.109375" style="2" bestFit="1" customWidth="1"/>
    <col min="8707" max="8707" width="21.109375" style="2" customWidth="1"/>
    <col min="8708" max="8708" width="24.6640625" style="2" bestFit="1" customWidth="1"/>
    <col min="8709" max="8709" width="30.44140625" style="2" customWidth="1"/>
    <col min="8710" max="8710" width="25.6640625" style="2"/>
    <col min="8711" max="8711" width="25.33203125" style="2" bestFit="1" customWidth="1"/>
    <col min="8712" max="8712" width="24.33203125" style="2" bestFit="1" customWidth="1"/>
    <col min="8713" max="8713" width="16.44140625" style="2" bestFit="1" customWidth="1"/>
    <col min="8714" max="8714" width="13" style="2" bestFit="1" customWidth="1"/>
    <col min="8715" max="8715" width="11.109375" style="2" bestFit="1" customWidth="1"/>
    <col min="8716" max="8716" width="50.44140625" style="2" customWidth="1"/>
    <col min="8717" max="8717" width="24.6640625" style="2" bestFit="1" customWidth="1"/>
    <col min="8718" max="8718" width="24.88671875" style="2" bestFit="1" customWidth="1"/>
    <col min="8719" max="8719" width="25.44140625" style="2" bestFit="1" customWidth="1"/>
    <col min="8720" max="8720" width="25.33203125" style="2" bestFit="1" customWidth="1"/>
    <col min="8721" max="8721" width="14.6640625" style="2" bestFit="1" customWidth="1"/>
    <col min="8722" max="8722" width="25" style="2" bestFit="1" customWidth="1"/>
    <col min="8723" max="8960" width="25.6640625" style="2"/>
    <col min="8961" max="8961" width="5.44140625" style="2" customWidth="1"/>
    <col min="8962" max="8962" width="22.109375" style="2" bestFit="1" customWidth="1"/>
    <col min="8963" max="8963" width="21.109375" style="2" customWidth="1"/>
    <col min="8964" max="8964" width="24.6640625" style="2" bestFit="1" customWidth="1"/>
    <col min="8965" max="8965" width="30.44140625" style="2" customWidth="1"/>
    <col min="8966" max="8966" width="25.6640625" style="2"/>
    <col min="8967" max="8967" width="25.33203125" style="2" bestFit="1" customWidth="1"/>
    <col min="8968" max="8968" width="24.33203125" style="2" bestFit="1" customWidth="1"/>
    <col min="8969" max="8969" width="16.44140625" style="2" bestFit="1" customWidth="1"/>
    <col min="8970" max="8970" width="13" style="2" bestFit="1" customWidth="1"/>
    <col min="8971" max="8971" width="11.109375" style="2" bestFit="1" customWidth="1"/>
    <col min="8972" max="8972" width="50.44140625" style="2" customWidth="1"/>
    <col min="8973" max="8973" width="24.6640625" style="2" bestFit="1" customWidth="1"/>
    <col min="8974" max="8974" width="24.88671875" style="2" bestFit="1" customWidth="1"/>
    <col min="8975" max="8975" width="25.44140625" style="2" bestFit="1" customWidth="1"/>
    <col min="8976" max="8976" width="25.33203125" style="2" bestFit="1" customWidth="1"/>
    <col min="8977" max="8977" width="14.6640625" style="2" bestFit="1" customWidth="1"/>
    <col min="8978" max="8978" width="25" style="2" bestFit="1" customWidth="1"/>
    <col min="8979" max="9216" width="25.6640625" style="2"/>
    <col min="9217" max="9217" width="5.44140625" style="2" customWidth="1"/>
    <col min="9218" max="9218" width="22.109375" style="2" bestFit="1" customWidth="1"/>
    <col min="9219" max="9219" width="21.109375" style="2" customWidth="1"/>
    <col min="9220" max="9220" width="24.6640625" style="2" bestFit="1" customWidth="1"/>
    <col min="9221" max="9221" width="30.44140625" style="2" customWidth="1"/>
    <col min="9222" max="9222" width="25.6640625" style="2"/>
    <col min="9223" max="9223" width="25.33203125" style="2" bestFit="1" customWidth="1"/>
    <col min="9224" max="9224" width="24.33203125" style="2" bestFit="1" customWidth="1"/>
    <col min="9225" max="9225" width="16.44140625" style="2" bestFit="1" customWidth="1"/>
    <col min="9226" max="9226" width="13" style="2" bestFit="1" customWidth="1"/>
    <col min="9227" max="9227" width="11.109375" style="2" bestFit="1" customWidth="1"/>
    <col min="9228" max="9228" width="50.44140625" style="2" customWidth="1"/>
    <col min="9229" max="9229" width="24.6640625" style="2" bestFit="1" customWidth="1"/>
    <col min="9230" max="9230" width="24.88671875" style="2" bestFit="1" customWidth="1"/>
    <col min="9231" max="9231" width="25.44140625" style="2" bestFit="1" customWidth="1"/>
    <col min="9232" max="9232" width="25.33203125" style="2" bestFit="1" customWidth="1"/>
    <col min="9233" max="9233" width="14.6640625" style="2" bestFit="1" customWidth="1"/>
    <col min="9234" max="9234" width="25" style="2" bestFit="1" customWidth="1"/>
    <col min="9235" max="9472" width="25.6640625" style="2"/>
    <col min="9473" max="9473" width="5.44140625" style="2" customWidth="1"/>
    <col min="9474" max="9474" width="22.109375" style="2" bestFit="1" customWidth="1"/>
    <col min="9475" max="9475" width="21.109375" style="2" customWidth="1"/>
    <col min="9476" max="9476" width="24.6640625" style="2" bestFit="1" customWidth="1"/>
    <col min="9477" max="9477" width="30.44140625" style="2" customWidth="1"/>
    <col min="9478" max="9478" width="25.6640625" style="2"/>
    <col min="9479" max="9479" width="25.33203125" style="2" bestFit="1" customWidth="1"/>
    <col min="9480" max="9480" width="24.33203125" style="2" bestFit="1" customWidth="1"/>
    <col min="9481" max="9481" width="16.44140625" style="2" bestFit="1" customWidth="1"/>
    <col min="9482" max="9482" width="13" style="2" bestFit="1" customWidth="1"/>
    <col min="9483" max="9483" width="11.109375" style="2" bestFit="1" customWidth="1"/>
    <col min="9484" max="9484" width="50.44140625" style="2" customWidth="1"/>
    <col min="9485" max="9485" width="24.6640625" style="2" bestFit="1" customWidth="1"/>
    <col min="9486" max="9486" width="24.88671875" style="2" bestFit="1" customWidth="1"/>
    <col min="9487" max="9487" width="25.44140625" style="2" bestFit="1" customWidth="1"/>
    <col min="9488" max="9488" width="25.33203125" style="2" bestFit="1" customWidth="1"/>
    <col min="9489" max="9489" width="14.6640625" style="2" bestFit="1" customWidth="1"/>
    <col min="9490" max="9490" width="25" style="2" bestFit="1" customWidth="1"/>
    <col min="9491" max="9728" width="25.6640625" style="2"/>
    <col min="9729" max="9729" width="5.44140625" style="2" customWidth="1"/>
    <col min="9730" max="9730" width="22.109375" style="2" bestFit="1" customWidth="1"/>
    <col min="9731" max="9731" width="21.109375" style="2" customWidth="1"/>
    <col min="9732" max="9732" width="24.6640625" style="2" bestFit="1" customWidth="1"/>
    <col min="9733" max="9733" width="30.44140625" style="2" customWidth="1"/>
    <col min="9734" max="9734" width="25.6640625" style="2"/>
    <col min="9735" max="9735" width="25.33203125" style="2" bestFit="1" customWidth="1"/>
    <col min="9736" max="9736" width="24.33203125" style="2" bestFit="1" customWidth="1"/>
    <col min="9737" max="9737" width="16.44140625" style="2" bestFit="1" customWidth="1"/>
    <col min="9738" max="9738" width="13" style="2" bestFit="1" customWidth="1"/>
    <col min="9739" max="9739" width="11.109375" style="2" bestFit="1" customWidth="1"/>
    <col min="9740" max="9740" width="50.44140625" style="2" customWidth="1"/>
    <col min="9741" max="9741" width="24.6640625" style="2" bestFit="1" customWidth="1"/>
    <col min="9742" max="9742" width="24.88671875" style="2" bestFit="1" customWidth="1"/>
    <col min="9743" max="9743" width="25.44140625" style="2" bestFit="1" customWidth="1"/>
    <col min="9744" max="9744" width="25.33203125" style="2" bestFit="1" customWidth="1"/>
    <col min="9745" max="9745" width="14.6640625" style="2" bestFit="1" customWidth="1"/>
    <col min="9746" max="9746" width="25" style="2" bestFit="1" customWidth="1"/>
    <col min="9747" max="9984" width="25.6640625" style="2"/>
    <col min="9985" max="9985" width="5.44140625" style="2" customWidth="1"/>
    <col min="9986" max="9986" width="22.109375" style="2" bestFit="1" customWidth="1"/>
    <col min="9987" max="9987" width="21.109375" style="2" customWidth="1"/>
    <col min="9988" max="9988" width="24.6640625" style="2" bestFit="1" customWidth="1"/>
    <col min="9989" max="9989" width="30.44140625" style="2" customWidth="1"/>
    <col min="9990" max="9990" width="25.6640625" style="2"/>
    <col min="9991" max="9991" width="25.33203125" style="2" bestFit="1" customWidth="1"/>
    <col min="9992" max="9992" width="24.33203125" style="2" bestFit="1" customWidth="1"/>
    <col min="9993" max="9993" width="16.44140625" style="2" bestFit="1" customWidth="1"/>
    <col min="9994" max="9994" width="13" style="2" bestFit="1" customWidth="1"/>
    <col min="9995" max="9995" width="11.109375" style="2" bestFit="1" customWidth="1"/>
    <col min="9996" max="9996" width="50.44140625" style="2" customWidth="1"/>
    <col min="9997" max="9997" width="24.6640625" style="2" bestFit="1" customWidth="1"/>
    <col min="9998" max="9998" width="24.88671875" style="2" bestFit="1" customWidth="1"/>
    <col min="9999" max="9999" width="25.44140625" style="2" bestFit="1" customWidth="1"/>
    <col min="10000" max="10000" width="25.33203125" style="2" bestFit="1" customWidth="1"/>
    <col min="10001" max="10001" width="14.6640625" style="2" bestFit="1" customWidth="1"/>
    <col min="10002" max="10002" width="25" style="2" bestFit="1" customWidth="1"/>
    <col min="10003" max="10240" width="25.6640625" style="2"/>
    <col min="10241" max="10241" width="5.44140625" style="2" customWidth="1"/>
    <col min="10242" max="10242" width="22.109375" style="2" bestFit="1" customWidth="1"/>
    <col min="10243" max="10243" width="21.109375" style="2" customWidth="1"/>
    <col min="10244" max="10244" width="24.6640625" style="2" bestFit="1" customWidth="1"/>
    <col min="10245" max="10245" width="30.44140625" style="2" customWidth="1"/>
    <col min="10246" max="10246" width="25.6640625" style="2"/>
    <col min="10247" max="10247" width="25.33203125" style="2" bestFit="1" customWidth="1"/>
    <col min="10248" max="10248" width="24.33203125" style="2" bestFit="1" customWidth="1"/>
    <col min="10249" max="10249" width="16.44140625" style="2" bestFit="1" customWidth="1"/>
    <col min="10250" max="10250" width="13" style="2" bestFit="1" customWidth="1"/>
    <col min="10251" max="10251" width="11.109375" style="2" bestFit="1" customWidth="1"/>
    <col min="10252" max="10252" width="50.44140625" style="2" customWidth="1"/>
    <col min="10253" max="10253" width="24.6640625" style="2" bestFit="1" customWidth="1"/>
    <col min="10254" max="10254" width="24.88671875" style="2" bestFit="1" customWidth="1"/>
    <col min="10255" max="10255" width="25.44140625" style="2" bestFit="1" customWidth="1"/>
    <col min="10256" max="10256" width="25.33203125" style="2" bestFit="1" customWidth="1"/>
    <col min="10257" max="10257" width="14.6640625" style="2" bestFit="1" customWidth="1"/>
    <col min="10258" max="10258" width="25" style="2" bestFit="1" customWidth="1"/>
    <col min="10259" max="10496" width="25.6640625" style="2"/>
    <col min="10497" max="10497" width="5.44140625" style="2" customWidth="1"/>
    <col min="10498" max="10498" width="22.109375" style="2" bestFit="1" customWidth="1"/>
    <col min="10499" max="10499" width="21.109375" style="2" customWidth="1"/>
    <col min="10500" max="10500" width="24.6640625" style="2" bestFit="1" customWidth="1"/>
    <col min="10501" max="10501" width="30.44140625" style="2" customWidth="1"/>
    <col min="10502" max="10502" width="25.6640625" style="2"/>
    <col min="10503" max="10503" width="25.33203125" style="2" bestFit="1" customWidth="1"/>
    <col min="10504" max="10504" width="24.33203125" style="2" bestFit="1" customWidth="1"/>
    <col min="10505" max="10505" width="16.44140625" style="2" bestFit="1" customWidth="1"/>
    <col min="10506" max="10506" width="13" style="2" bestFit="1" customWidth="1"/>
    <col min="10507" max="10507" width="11.109375" style="2" bestFit="1" customWidth="1"/>
    <col min="10508" max="10508" width="50.44140625" style="2" customWidth="1"/>
    <col min="10509" max="10509" width="24.6640625" style="2" bestFit="1" customWidth="1"/>
    <col min="10510" max="10510" width="24.88671875" style="2" bestFit="1" customWidth="1"/>
    <col min="10511" max="10511" width="25.44140625" style="2" bestFit="1" customWidth="1"/>
    <col min="10512" max="10512" width="25.33203125" style="2" bestFit="1" customWidth="1"/>
    <col min="10513" max="10513" width="14.6640625" style="2" bestFit="1" customWidth="1"/>
    <col min="10514" max="10514" width="25" style="2" bestFit="1" customWidth="1"/>
    <col min="10515" max="10752" width="25.6640625" style="2"/>
    <col min="10753" max="10753" width="5.44140625" style="2" customWidth="1"/>
    <col min="10754" max="10754" width="22.109375" style="2" bestFit="1" customWidth="1"/>
    <col min="10755" max="10755" width="21.109375" style="2" customWidth="1"/>
    <col min="10756" max="10756" width="24.6640625" style="2" bestFit="1" customWidth="1"/>
    <col min="10757" max="10757" width="30.44140625" style="2" customWidth="1"/>
    <col min="10758" max="10758" width="25.6640625" style="2"/>
    <col min="10759" max="10759" width="25.33203125" style="2" bestFit="1" customWidth="1"/>
    <col min="10760" max="10760" width="24.33203125" style="2" bestFit="1" customWidth="1"/>
    <col min="10761" max="10761" width="16.44140625" style="2" bestFit="1" customWidth="1"/>
    <col min="10762" max="10762" width="13" style="2" bestFit="1" customWidth="1"/>
    <col min="10763" max="10763" width="11.109375" style="2" bestFit="1" customWidth="1"/>
    <col min="10764" max="10764" width="50.44140625" style="2" customWidth="1"/>
    <col min="10765" max="10765" width="24.6640625" style="2" bestFit="1" customWidth="1"/>
    <col min="10766" max="10766" width="24.88671875" style="2" bestFit="1" customWidth="1"/>
    <col min="10767" max="10767" width="25.44140625" style="2" bestFit="1" customWidth="1"/>
    <col min="10768" max="10768" width="25.33203125" style="2" bestFit="1" customWidth="1"/>
    <col min="10769" max="10769" width="14.6640625" style="2" bestFit="1" customWidth="1"/>
    <col min="10770" max="10770" width="25" style="2" bestFit="1" customWidth="1"/>
    <col min="10771" max="11008" width="25.6640625" style="2"/>
    <col min="11009" max="11009" width="5.44140625" style="2" customWidth="1"/>
    <col min="11010" max="11010" width="22.109375" style="2" bestFit="1" customWidth="1"/>
    <col min="11011" max="11011" width="21.109375" style="2" customWidth="1"/>
    <col min="11012" max="11012" width="24.6640625" style="2" bestFit="1" customWidth="1"/>
    <col min="11013" max="11013" width="30.44140625" style="2" customWidth="1"/>
    <col min="11014" max="11014" width="25.6640625" style="2"/>
    <col min="11015" max="11015" width="25.33203125" style="2" bestFit="1" customWidth="1"/>
    <col min="11016" max="11016" width="24.33203125" style="2" bestFit="1" customWidth="1"/>
    <col min="11017" max="11017" width="16.44140625" style="2" bestFit="1" customWidth="1"/>
    <col min="11018" max="11018" width="13" style="2" bestFit="1" customWidth="1"/>
    <col min="11019" max="11019" width="11.109375" style="2" bestFit="1" customWidth="1"/>
    <col min="11020" max="11020" width="50.44140625" style="2" customWidth="1"/>
    <col min="11021" max="11021" width="24.6640625" style="2" bestFit="1" customWidth="1"/>
    <col min="11022" max="11022" width="24.88671875" style="2" bestFit="1" customWidth="1"/>
    <col min="11023" max="11023" width="25.44140625" style="2" bestFit="1" customWidth="1"/>
    <col min="11024" max="11024" width="25.33203125" style="2" bestFit="1" customWidth="1"/>
    <col min="11025" max="11025" width="14.6640625" style="2" bestFit="1" customWidth="1"/>
    <col min="11026" max="11026" width="25" style="2" bestFit="1" customWidth="1"/>
    <col min="11027" max="11264" width="25.6640625" style="2"/>
    <col min="11265" max="11265" width="5.44140625" style="2" customWidth="1"/>
    <col min="11266" max="11266" width="22.109375" style="2" bestFit="1" customWidth="1"/>
    <col min="11267" max="11267" width="21.109375" style="2" customWidth="1"/>
    <col min="11268" max="11268" width="24.6640625" style="2" bestFit="1" customWidth="1"/>
    <col min="11269" max="11269" width="30.44140625" style="2" customWidth="1"/>
    <col min="11270" max="11270" width="25.6640625" style="2"/>
    <col min="11271" max="11271" width="25.33203125" style="2" bestFit="1" customWidth="1"/>
    <col min="11272" max="11272" width="24.33203125" style="2" bestFit="1" customWidth="1"/>
    <col min="11273" max="11273" width="16.44140625" style="2" bestFit="1" customWidth="1"/>
    <col min="11274" max="11274" width="13" style="2" bestFit="1" customWidth="1"/>
    <col min="11275" max="11275" width="11.109375" style="2" bestFit="1" customWidth="1"/>
    <col min="11276" max="11276" width="50.44140625" style="2" customWidth="1"/>
    <col min="11277" max="11277" width="24.6640625" style="2" bestFit="1" customWidth="1"/>
    <col min="11278" max="11278" width="24.88671875" style="2" bestFit="1" customWidth="1"/>
    <col min="11279" max="11279" width="25.44140625" style="2" bestFit="1" customWidth="1"/>
    <col min="11280" max="11280" width="25.33203125" style="2" bestFit="1" customWidth="1"/>
    <col min="11281" max="11281" width="14.6640625" style="2" bestFit="1" customWidth="1"/>
    <col min="11282" max="11282" width="25" style="2" bestFit="1" customWidth="1"/>
    <col min="11283" max="11520" width="25.6640625" style="2"/>
    <col min="11521" max="11521" width="5.44140625" style="2" customWidth="1"/>
    <col min="11522" max="11522" width="22.109375" style="2" bestFit="1" customWidth="1"/>
    <col min="11523" max="11523" width="21.109375" style="2" customWidth="1"/>
    <col min="11524" max="11524" width="24.6640625" style="2" bestFit="1" customWidth="1"/>
    <col min="11525" max="11525" width="30.44140625" style="2" customWidth="1"/>
    <col min="11526" max="11526" width="25.6640625" style="2"/>
    <col min="11527" max="11527" width="25.33203125" style="2" bestFit="1" customWidth="1"/>
    <col min="11528" max="11528" width="24.33203125" style="2" bestFit="1" customWidth="1"/>
    <col min="11529" max="11529" width="16.44140625" style="2" bestFit="1" customWidth="1"/>
    <col min="11530" max="11530" width="13" style="2" bestFit="1" customWidth="1"/>
    <col min="11531" max="11531" width="11.109375" style="2" bestFit="1" customWidth="1"/>
    <col min="11532" max="11532" width="50.44140625" style="2" customWidth="1"/>
    <col min="11533" max="11533" width="24.6640625" style="2" bestFit="1" customWidth="1"/>
    <col min="11534" max="11534" width="24.88671875" style="2" bestFit="1" customWidth="1"/>
    <col min="11535" max="11535" width="25.44140625" style="2" bestFit="1" customWidth="1"/>
    <col min="11536" max="11536" width="25.33203125" style="2" bestFit="1" customWidth="1"/>
    <col min="11537" max="11537" width="14.6640625" style="2" bestFit="1" customWidth="1"/>
    <col min="11538" max="11538" width="25" style="2" bestFit="1" customWidth="1"/>
    <col min="11539" max="11776" width="25.6640625" style="2"/>
    <col min="11777" max="11777" width="5.44140625" style="2" customWidth="1"/>
    <col min="11778" max="11778" width="22.109375" style="2" bestFit="1" customWidth="1"/>
    <col min="11779" max="11779" width="21.109375" style="2" customWidth="1"/>
    <col min="11780" max="11780" width="24.6640625" style="2" bestFit="1" customWidth="1"/>
    <col min="11781" max="11781" width="30.44140625" style="2" customWidth="1"/>
    <col min="11782" max="11782" width="25.6640625" style="2"/>
    <col min="11783" max="11783" width="25.33203125" style="2" bestFit="1" customWidth="1"/>
    <col min="11784" max="11784" width="24.33203125" style="2" bestFit="1" customWidth="1"/>
    <col min="11785" max="11785" width="16.44140625" style="2" bestFit="1" customWidth="1"/>
    <col min="11786" max="11786" width="13" style="2" bestFit="1" customWidth="1"/>
    <col min="11787" max="11787" width="11.109375" style="2" bestFit="1" customWidth="1"/>
    <col min="11788" max="11788" width="50.44140625" style="2" customWidth="1"/>
    <col min="11789" max="11789" width="24.6640625" style="2" bestFit="1" customWidth="1"/>
    <col min="11790" max="11790" width="24.88671875" style="2" bestFit="1" customWidth="1"/>
    <col min="11791" max="11791" width="25.44140625" style="2" bestFit="1" customWidth="1"/>
    <col min="11792" max="11792" width="25.33203125" style="2" bestFit="1" customWidth="1"/>
    <col min="11793" max="11793" width="14.6640625" style="2" bestFit="1" customWidth="1"/>
    <col min="11794" max="11794" width="25" style="2" bestFit="1" customWidth="1"/>
    <col min="11795" max="12032" width="25.6640625" style="2"/>
    <col min="12033" max="12033" width="5.44140625" style="2" customWidth="1"/>
    <col min="12034" max="12034" width="22.109375" style="2" bestFit="1" customWidth="1"/>
    <col min="12035" max="12035" width="21.109375" style="2" customWidth="1"/>
    <col min="12036" max="12036" width="24.6640625" style="2" bestFit="1" customWidth="1"/>
    <col min="12037" max="12037" width="30.44140625" style="2" customWidth="1"/>
    <col min="12038" max="12038" width="25.6640625" style="2"/>
    <col min="12039" max="12039" width="25.33203125" style="2" bestFit="1" customWidth="1"/>
    <col min="12040" max="12040" width="24.33203125" style="2" bestFit="1" customWidth="1"/>
    <col min="12041" max="12041" width="16.44140625" style="2" bestFit="1" customWidth="1"/>
    <col min="12042" max="12042" width="13" style="2" bestFit="1" customWidth="1"/>
    <col min="12043" max="12043" width="11.109375" style="2" bestFit="1" customWidth="1"/>
    <col min="12044" max="12044" width="50.44140625" style="2" customWidth="1"/>
    <col min="12045" max="12045" width="24.6640625" style="2" bestFit="1" customWidth="1"/>
    <col min="12046" max="12046" width="24.88671875" style="2" bestFit="1" customWidth="1"/>
    <col min="12047" max="12047" width="25.44140625" style="2" bestFit="1" customWidth="1"/>
    <col min="12048" max="12048" width="25.33203125" style="2" bestFit="1" customWidth="1"/>
    <col min="12049" max="12049" width="14.6640625" style="2" bestFit="1" customWidth="1"/>
    <col min="12050" max="12050" width="25" style="2" bestFit="1" customWidth="1"/>
    <col min="12051" max="12288" width="25.6640625" style="2"/>
    <col min="12289" max="12289" width="5.44140625" style="2" customWidth="1"/>
    <col min="12290" max="12290" width="22.109375" style="2" bestFit="1" customWidth="1"/>
    <col min="12291" max="12291" width="21.109375" style="2" customWidth="1"/>
    <col min="12292" max="12292" width="24.6640625" style="2" bestFit="1" customWidth="1"/>
    <col min="12293" max="12293" width="30.44140625" style="2" customWidth="1"/>
    <col min="12294" max="12294" width="25.6640625" style="2"/>
    <col min="12295" max="12295" width="25.33203125" style="2" bestFit="1" customWidth="1"/>
    <col min="12296" max="12296" width="24.33203125" style="2" bestFit="1" customWidth="1"/>
    <col min="12297" max="12297" width="16.44140625" style="2" bestFit="1" customWidth="1"/>
    <col min="12298" max="12298" width="13" style="2" bestFit="1" customWidth="1"/>
    <col min="12299" max="12299" width="11.109375" style="2" bestFit="1" customWidth="1"/>
    <col min="12300" max="12300" width="50.44140625" style="2" customWidth="1"/>
    <col min="12301" max="12301" width="24.6640625" style="2" bestFit="1" customWidth="1"/>
    <col min="12302" max="12302" width="24.88671875" style="2" bestFit="1" customWidth="1"/>
    <col min="12303" max="12303" width="25.44140625" style="2" bestFit="1" customWidth="1"/>
    <col min="12304" max="12304" width="25.33203125" style="2" bestFit="1" customWidth="1"/>
    <col min="12305" max="12305" width="14.6640625" style="2" bestFit="1" customWidth="1"/>
    <col min="12306" max="12306" width="25" style="2" bestFit="1" customWidth="1"/>
    <col min="12307" max="12544" width="25.6640625" style="2"/>
    <col min="12545" max="12545" width="5.44140625" style="2" customWidth="1"/>
    <col min="12546" max="12546" width="22.109375" style="2" bestFit="1" customWidth="1"/>
    <col min="12547" max="12547" width="21.109375" style="2" customWidth="1"/>
    <col min="12548" max="12548" width="24.6640625" style="2" bestFit="1" customWidth="1"/>
    <col min="12549" max="12549" width="30.44140625" style="2" customWidth="1"/>
    <col min="12550" max="12550" width="25.6640625" style="2"/>
    <col min="12551" max="12551" width="25.33203125" style="2" bestFit="1" customWidth="1"/>
    <col min="12552" max="12552" width="24.33203125" style="2" bestFit="1" customWidth="1"/>
    <col min="12553" max="12553" width="16.44140625" style="2" bestFit="1" customWidth="1"/>
    <col min="12554" max="12554" width="13" style="2" bestFit="1" customWidth="1"/>
    <col min="12555" max="12555" width="11.109375" style="2" bestFit="1" customWidth="1"/>
    <col min="12556" max="12556" width="50.44140625" style="2" customWidth="1"/>
    <col min="12557" max="12557" width="24.6640625" style="2" bestFit="1" customWidth="1"/>
    <col min="12558" max="12558" width="24.88671875" style="2" bestFit="1" customWidth="1"/>
    <col min="12559" max="12559" width="25.44140625" style="2" bestFit="1" customWidth="1"/>
    <col min="12560" max="12560" width="25.33203125" style="2" bestFit="1" customWidth="1"/>
    <col min="12561" max="12561" width="14.6640625" style="2" bestFit="1" customWidth="1"/>
    <col min="12562" max="12562" width="25" style="2" bestFit="1" customWidth="1"/>
    <col min="12563" max="12800" width="25.6640625" style="2"/>
    <col min="12801" max="12801" width="5.44140625" style="2" customWidth="1"/>
    <col min="12802" max="12802" width="22.109375" style="2" bestFit="1" customWidth="1"/>
    <col min="12803" max="12803" width="21.109375" style="2" customWidth="1"/>
    <col min="12804" max="12804" width="24.6640625" style="2" bestFit="1" customWidth="1"/>
    <col min="12805" max="12805" width="30.44140625" style="2" customWidth="1"/>
    <col min="12806" max="12806" width="25.6640625" style="2"/>
    <col min="12807" max="12807" width="25.33203125" style="2" bestFit="1" customWidth="1"/>
    <col min="12808" max="12808" width="24.33203125" style="2" bestFit="1" customWidth="1"/>
    <col min="12809" max="12809" width="16.44140625" style="2" bestFit="1" customWidth="1"/>
    <col min="12810" max="12810" width="13" style="2" bestFit="1" customWidth="1"/>
    <col min="12811" max="12811" width="11.109375" style="2" bestFit="1" customWidth="1"/>
    <col min="12812" max="12812" width="50.44140625" style="2" customWidth="1"/>
    <col min="12813" max="12813" width="24.6640625" style="2" bestFit="1" customWidth="1"/>
    <col min="12814" max="12814" width="24.88671875" style="2" bestFit="1" customWidth="1"/>
    <col min="12815" max="12815" width="25.44140625" style="2" bestFit="1" customWidth="1"/>
    <col min="12816" max="12816" width="25.33203125" style="2" bestFit="1" customWidth="1"/>
    <col min="12817" max="12817" width="14.6640625" style="2" bestFit="1" customWidth="1"/>
    <col min="12818" max="12818" width="25" style="2" bestFit="1" customWidth="1"/>
    <col min="12819" max="13056" width="25.6640625" style="2"/>
    <col min="13057" max="13057" width="5.44140625" style="2" customWidth="1"/>
    <col min="13058" max="13058" width="22.109375" style="2" bestFit="1" customWidth="1"/>
    <col min="13059" max="13059" width="21.109375" style="2" customWidth="1"/>
    <col min="13060" max="13060" width="24.6640625" style="2" bestFit="1" customWidth="1"/>
    <col min="13061" max="13061" width="30.44140625" style="2" customWidth="1"/>
    <col min="13062" max="13062" width="25.6640625" style="2"/>
    <col min="13063" max="13063" width="25.33203125" style="2" bestFit="1" customWidth="1"/>
    <col min="13064" max="13064" width="24.33203125" style="2" bestFit="1" customWidth="1"/>
    <col min="13065" max="13065" width="16.44140625" style="2" bestFit="1" customWidth="1"/>
    <col min="13066" max="13066" width="13" style="2" bestFit="1" customWidth="1"/>
    <col min="13067" max="13067" width="11.109375" style="2" bestFit="1" customWidth="1"/>
    <col min="13068" max="13068" width="50.44140625" style="2" customWidth="1"/>
    <col min="13069" max="13069" width="24.6640625" style="2" bestFit="1" customWidth="1"/>
    <col min="13070" max="13070" width="24.88671875" style="2" bestFit="1" customWidth="1"/>
    <col min="13071" max="13071" width="25.44140625" style="2" bestFit="1" customWidth="1"/>
    <col min="13072" max="13072" width="25.33203125" style="2" bestFit="1" customWidth="1"/>
    <col min="13073" max="13073" width="14.6640625" style="2" bestFit="1" customWidth="1"/>
    <col min="13074" max="13074" width="25" style="2" bestFit="1" customWidth="1"/>
    <col min="13075" max="13312" width="25.6640625" style="2"/>
    <col min="13313" max="13313" width="5.44140625" style="2" customWidth="1"/>
    <col min="13314" max="13314" width="22.109375" style="2" bestFit="1" customWidth="1"/>
    <col min="13315" max="13315" width="21.109375" style="2" customWidth="1"/>
    <col min="13316" max="13316" width="24.6640625" style="2" bestFit="1" customWidth="1"/>
    <col min="13317" max="13317" width="30.44140625" style="2" customWidth="1"/>
    <col min="13318" max="13318" width="25.6640625" style="2"/>
    <col min="13319" max="13319" width="25.33203125" style="2" bestFit="1" customWidth="1"/>
    <col min="13320" max="13320" width="24.33203125" style="2" bestFit="1" customWidth="1"/>
    <col min="13321" max="13321" width="16.44140625" style="2" bestFit="1" customWidth="1"/>
    <col min="13322" max="13322" width="13" style="2" bestFit="1" customWidth="1"/>
    <col min="13323" max="13323" width="11.109375" style="2" bestFit="1" customWidth="1"/>
    <col min="13324" max="13324" width="50.44140625" style="2" customWidth="1"/>
    <col min="13325" max="13325" width="24.6640625" style="2" bestFit="1" customWidth="1"/>
    <col min="13326" max="13326" width="24.88671875" style="2" bestFit="1" customWidth="1"/>
    <col min="13327" max="13327" width="25.44140625" style="2" bestFit="1" customWidth="1"/>
    <col min="13328" max="13328" width="25.33203125" style="2" bestFit="1" customWidth="1"/>
    <col min="13329" max="13329" width="14.6640625" style="2" bestFit="1" customWidth="1"/>
    <col min="13330" max="13330" width="25" style="2" bestFit="1" customWidth="1"/>
    <col min="13331" max="13568" width="25.6640625" style="2"/>
    <col min="13569" max="13569" width="5.44140625" style="2" customWidth="1"/>
    <col min="13570" max="13570" width="22.109375" style="2" bestFit="1" customWidth="1"/>
    <col min="13571" max="13571" width="21.109375" style="2" customWidth="1"/>
    <col min="13572" max="13572" width="24.6640625" style="2" bestFit="1" customWidth="1"/>
    <col min="13573" max="13573" width="30.44140625" style="2" customWidth="1"/>
    <col min="13574" max="13574" width="25.6640625" style="2"/>
    <col min="13575" max="13575" width="25.33203125" style="2" bestFit="1" customWidth="1"/>
    <col min="13576" max="13576" width="24.33203125" style="2" bestFit="1" customWidth="1"/>
    <col min="13577" max="13577" width="16.44140625" style="2" bestFit="1" customWidth="1"/>
    <col min="13578" max="13578" width="13" style="2" bestFit="1" customWidth="1"/>
    <col min="13579" max="13579" width="11.109375" style="2" bestFit="1" customWidth="1"/>
    <col min="13580" max="13580" width="50.44140625" style="2" customWidth="1"/>
    <col min="13581" max="13581" width="24.6640625" style="2" bestFit="1" customWidth="1"/>
    <col min="13582" max="13582" width="24.88671875" style="2" bestFit="1" customWidth="1"/>
    <col min="13583" max="13583" width="25.44140625" style="2" bestFit="1" customWidth="1"/>
    <col min="13584" max="13584" width="25.33203125" style="2" bestFit="1" customWidth="1"/>
    <col min="13585" max="13585" width="14.6640625" style="2" bestFit="1" customWidth="1"/>
    <col min="13586" max="13586" width="25" style="2" bestFit="1" customWidth="1"/>
    <col min="13587" max="13824" width="25.6640625" style="2"/>
    <col min="13825" max="13825" width="5.44140625" style="2" customWidth="1"/>
    <col min="13826" max="13826" width="22.109375" style="2" bestFit="1" customWidth="1"/>
    <col min="13827" max="13827" width="21.109375" style="2" customWidth="1"/>
    <col min="13828" max="13828" width="24.6640625" style="2" bestFit="1" customWidth="1"/>
    <col min="13829" max="13829" width="30.44140625" style="2" customWidth="1"/>
    <col min="13830" max="13830" width="25.6640625" style="2"/>
    <col min="13831" max="13831" width="25.33203125" style="2" bestFit="1" customWidth="1"/>
    <col min="13832" max="13832" width="24.33203125" style="2" bestFit="1" customWidth="1"/>
    <col min="13833" max="13833" width="16.44140625" style="2" bestFit="1" customWidth="1"/>
    <col min="13834" max="13834" width="13" style="2" bestFit="1" customWidth="1"/>
    <col min="13835" max="13835" width="11.109375" style="2" bestFit="1" customWidth="1"/>
    <col min="13836" max="13836" width="50.44140625" style="2" customWidth="1"/>
    <col min="13837" max="13837" width="24.6640625" style="2" bestFit="1" customWidth="1"/>
    <col min="13838" max="13838" width="24.88671875" style="2" bestFit="1" customWidth="1"/>
    <col min="13839" max="13839" width="25.44140625" style="2" bestFit="1" customWidth="1"/>
    <col min="13840" max="13840" width="25.33203125" style="2" bestFit="1" customWidth="1"/>
    <col min="13841" max="13841" width="14.6640625" style="2" bestFit="1" customWidth="1"/>
    <col min="13842" max="13842" width="25" style="2" bestFit="1" customWidth="1"/>
    <col min="13843" max="14080" width="25.6640625" style="2"/>
    <col min="14081" max="14081" width="5.44140625" style="2" customWidth="1"/>
    <col min="14082" max="14082" width="22.109375" style="2" bestFit="1" customWidth="1"/>
    <col min="14083" max="14083" width="21.109375" style="2" customWidth="1"/>
    <col min="14084" max="14084" width="24.6640625" style="2" bestFit="1" customWidth="1"/>
    <col min="14085" max="14085" width="30.44140625" style="2" customWidth="1"/>
    <col min="14086" max="14086" width="25.6640625" style="2"/>
    <col min="14087" max="14087" width="25.33203125" style="2" bestFit="1" customWidth="1"/>
    <col min="14088" max="14088" width="24.33203125" style="2" bestFit="1" customWidth="1"/>
    <col min="14089" max="14089" width="16.44140625" style="2" bestFit="1" customWidth="1"/>
    <col min="14090" max="14090" width="13" style="2" bestFit="1" customWidth="1"/>
    <col min="14091" max="14091" width="11.109375" style="2" bestFit="1" customWidth="1"/>
    <col min="14092" max="14092" width="50.44140625" style="2" customWidth="1"/>
    <col min="14093" max="14093" width="24.6640625" style="2" bestFit="1" customWidth="1"/>
    <col min="14094" max="14094" width="24.88671875" style="2" bestFit="1" customWidth="1"/>
    <col min="14095" max="14095" width="25.44140625" style="2" bestFit="1" customWidth="1"/>
    <col min="14096" max="14096" width="25.33203125" style="2" bestFit="1" customWidth="1"/>
    <col min="14097" max="14097" width="14.6640625" style="2" bestFit="1" customWidth="1"/>
    <col min="14098" max="14098" width="25" style="2" bestFit="1" customWidth="1"/>
    <col min="14099" max="14336" width="25.6640625" style="2"/>
    <col min="14337" max="14337" width="5.44140625" style="2" customWidth="1"/>
    <col min="14338" max="14338" width="22.109375" style="2" bestFit="1" customWidth="1"/>
    <col min="14339" max="14339" width="21.109375" style="2" customWidth="1"/>
    <col min="14340" max="14340" width="24.6640625" style="2" bestFit="1" customWidth="1"/>
    <col min="14341" max="14341" width="30.44140625" style="2" customWidth="1"/>
    <col min="14342" max="14342" width="25.6640625" style="2"/>
    <col min="14343" max="14343" width="25.33203125" style="2" bestFit="1" customWidth="1"/>
    <col min="14344" max="14344" width="24.33203125" style="2" bestFit="1" customWidth="1"/>
    <col min="14345" max="14345" width="16.44140625" style="2" bestFit="1" customWidth="1"/>
    <col min="14346" max="14346" width="13" style="2" bestFit="1" customWidth="1"/>
    <col min="14347" max="14347" width="11.109375" style="2" bestFit="1" customWidth="1"/>
    <col min="14348" max="14348" width="50.44140625" style="2" customWidth="1"/>
    <col min="14349" max="14349" width="24.6640625" style="2" bestFit="1" customWidth="1"/>
    <col min="14350" max="14350" width="24.88671875" style="2" bestFit="1" customWidth="1"/>
    <col min="14351" max="14351" width="25.44140625" style="2" bestFit="1" customWidth="1"/>
    <col min="14352" max="14352" width="25.33203125" style="2" bestFit="1" customWidth="1"/>
    <col min="14353" max="14353" width="14.6640625" style="2" bestFit="1" customWidth="1"/>
    <col min="14354" max="14354" width="25" style="2" bestFit="1" customWidth="1"/>
    <col min="14355" max="14592" width="25.6640625" style="2"/>
    <col min="14593" max="14593" width="5.44140625" style="2" customWidth="1"/>
    <col min="14594" max="14594" width="22.109375" style="2" bestFit="1" customWidth="1"/>
    <col min="14595" max="14595" width="21.109375" style="2" customWidth="1"/>
    <col min="14596" max="14596" width="24.6640625" style="2" bestFit="1" customWidth="1"/>
    <col min="14597" max="14597" width="30.44140625" style="2" customWidth="1"/>
    <col min="14598" max="14598" width="25.6640625" style="2"/>
    <col min="14599" max="14599" width="25.33203125" style="2" bestFit="1" customWidth="1"/>
    <col min="14600" max="14600" width="24.33203125" style="2" bestFit="1" customWidth="1"/>
    <col min="14601" max="14601" width="16.44140625" style="2" bestFit="1" customWidth="1"/>
    <col min="14602" max="14602" width="13" style="2" bestFit="1" customWidth="1"/>
    <col min="14603" max="14603" width="11.109375" style="2" bestFit="1" customWidth="1"/>
    <col min="14604" max="14604" width="50.44140625" style="2" customWidth="1"/>
    <col min="14605" max="14605" width="24.6640625" style="2" bestFit="1" customWidth="1"/>
    <col min="14606" max="14606" width="24.88671875" style="2" bestFit="1" customWidth="1"/>
    <col min="14607" max="14607" width="25.44140625" style="2" bestFit="1" customWidth="1"/>
    <col min="14608" max="14608" width="25.33203125" style="2" bestFit="1" customWidth="1"/>
    <col min="14609" max="14609" width="14.6640625" style="2" bestFit="1" customWidth="1"/>
    <col min="14610" max="14610" width="25" style="2" bestFit="1" customWidth="1"/>
    <col min="14611" max="14848" width="25.6640625" style="2"/>
    <col min="14849" max="14849" width="5.44140625" style="2" customWidth="1"/>
    <col min="14850" max="14850" width="22.109375" style="2" bestFit="1" customWidth="1"/>
    <col min="14851" max="14851" width="21.109375" style="2" customWidth="1"/>
    <col min="14852" max="14852" width="24.6640625" style="2" bestFit="1" customWidth="1"/>
    <col min="14853" max="14853" width="30.44140625" style="2" customWidth="1"/>
    <col min="14854" max="14854" width="25.6640625" style="2"/>
    <col min="14855" max="14855" width="25.33203125" style="2" bestFit="1" customWidth="1"/>
    <col min="14856" max="14856" width="24.33203125" style="2" bestFit="1" customWidth="1"/>
    <col min="14857" max="14857" width="16.44140625" style="2" bestFit="1" customWidth="1"/>
    <col min="14858" max="14858" width="13" style="2" bestFit="1" customWidth="1"/>
    <col min="14859" max="14859" width="11.109375" style="2" bestFit="1" customWidth="1"/>
    <col min="14860" max="14860" width="50.44140625" style="2" customWidth="1"/>
    <col min="14861" max="14861" width="24.6640625" style="2" bestFit="1" customWidth="1"/>
    <col min="14862" max="14862" width="24.88671875" style="2" bestFit="1" customWidth="1"/>
    <col min="14863" max="14863" width="25.44140625" style="2" bestFit="1" customWidth="1"/>
    <col min="14864" max="14864" width="25.33203125" style="2" bestFit="1" customWidth="1"/>
    <col min="14865" max="14865" width="14.6640625" style="2" bestFit="1" customWidth="1"/>
    <col min="14866" max="14866" width="25" style="2" bestFit="1" customWidth="1"/>
    <col min="14867" max="15104" width="25.6640625" style="2"/>
    <col min="15105" max="15105" width="5.44140625" style="2" customWidth="1"/>
    <col min="15106" max="15106" width="22.109375" style="2" bestFit="1" customWidth="1"/>
    <col min="15107" max="15107" width="21.109375" style="2" customWidth="1"/>
    <col min="15108" max="15108" width="24.6640625" style="2" bestFit="1" customWidth="1"/>
    <col min="15109" max="15109" width="30.44140625" style="2" customWidth="1"/>
    <col min="15110" max="15110" width="25.6640625" style="2"/>
    <col min="15111" max="15111" width="25.33203125" style="2" bestFit="1" customWidth="1"/>
    <col min="15112" max="15112" width="24.33203125" style="2" bestFit="1" customWidth="1"/>
    <col min="15113" max="15113" width="16.44140625" style="2" bestFit="1" customWidth="1"/>
    <col min="15114" max="15114" width="13" style="2" bestFit="1" customWidth="1"/>
    <col min="15115" max="15115" width="11.109375" style="2" bestFit="1" customWidth="1"/>
    <col min="15116" max="15116" width="50.44140625" style="2" customWidth="1"/>
    <col min="15117" max="15117" width="24.6640625" style="2" bestFit="1" customWidth="1"/>
    <col min="15118" max="15118" width="24.88671875" style="2" bestFit="1" customWidth="1"/>
    <col min="15119" max="15119" width="25.44140625" style="2" bestFit="1" customWidth="1"/>
    <col min="15120" max="15120" width="25.33203125" style="2" bestFit="1" customWidth="1"/>
    <col min="15121" max="15121" width="14.6640625" style="2" bestFit="1" customWidth="1"/>
    <col min="15122" max="15122" width="25" style="2" bestFit="1" customWidth="1"/>
    <col min="15123" max="15360" width="25.6640625" style="2"/>
    <col min="15361" max="15361" width="5.44140625" style="2" customWidth="1"/>
    <col min="15362" max="15362" width="22.109375" style="2" bestFit="1" customWidth="1"/>
    <col min="15363" max="15363" width="21.109375" style="2" customWidth="1"/>
    <col min="15364" max="15364" width="24.6640625" style="2" bestFit="1" customWidth="1"/>
    <col min="15365" max="15365" width="30.44140625" style="2" customWidth="1"/>
    <col min="15366" max="15366" width="25.6640625" style="2"/>
    <col min="15367" max="15367" width="25.33203125" style="2" bestFit="1" customWidth="1"/>
    <col min="15368" max="15368" width="24.33203125" style="2" bestFit="1" customWidth="1"/>
    <col min="15369" max="15369" width="16.44140625" style="2" bestFit="1" customWidth="1"/>
    <col min="15370" max="15370" width="13" style="2" bestFit="1" customWidth="1"/>
    <col min="15371" max="15371" width="11.109375" style="2" bestFit="1" customWidth="1"/>
    <col min="15372" max="15372" width="50.44140625" style="2" customWidth="1"/>
    <col min="15373" max="15373" width="24.6640625" style="2" bestFit="1" customWidth="1"/>
    <col min="15374" max="15374" width="24.88671875" style="2" bestFit="1" customWidth="1"/>
    <col min="15375" max="15375" width="25.44140625" style="2" bestFit="1" customWidth="1"/>
    <col min="15376" max="15376" width="25.33203125" style="2" bestFit="1" customWidth="1"/>
    <col min="15377" max="15377" width="14.6640625" style="2" bestFit="1" customWidth="1"/>
    <col min="15378" max="15378" width="25" style="2" bestFit="1" customWidth="1"/>
    <col min="15379" max="15616" width="25.6640625" style="2"/>
    <col min="15617" max="15617" width="5.44140625" style="2" customWidth="1"/>
    <col min="15618" max="15618" width="22.109375" style="2" bestFit="1" customWidth="1"/>
    <col min="15619" max="15619" width="21.109375" style="2" customWidth="1"/>
    <col min="15620" max="15620" width="24.6640625" style="2" bestFit="1" customWidth="1"/>
    <col min="15621" max="15621" width="30.44140625" style="2" customWidth="1"/>
    <col min="15622" max="15622" width="25.6640625" style="2"/>
    <col min="15623" max="15623" width="25.33203125" style="2" bestFit="1" customWidth="1"/>
    <col min="15624" max="15624" width="24.33203125" style="2" bestFit="1" customWidth="1"/>
    <col min="15625" max="15625" width="16.44140625" style="2" bestFit="1" customWidth="1"/>
    <col min="15626" max="15626" width="13" style="2" bestFit="1" customWidth="1"/>
    <col min="15627" max="15627" width="11.109375" style="2" bestFit="1" customWidth="1"/>
    <col min="15628" max="15628" width="50.44140625" style="2" customWidth="1"/>
    <col min="15629" max="15629" width="24.6640625" style="2" bestFit="1" customWidth="1"/>
    <col min="15630" max="15630" width="24.88671875" style="2" bestFit="1" customWidth="1"/>
    <col min="15631" max="15631" width="25.44140625" style="2" bestFit="1" customWidth="1"/>
    <col min="15632" max="15632" width="25.33203125" style="2" bestFit="1" customWidth="1"/>
    <col min="15633" max="15633" width="14.6640625" style="2" bestFit="1" customWidth="1"/>
    <col min="15634" max="15634" width="25" style="2" bestFit="1" customWidth="1"/>
    <col min="15635" max="15872" width="25.6640625" style="2"/>
    <col min="15873" max="15873" width="5.44140625" style="2" customWidth="1"/>
    <col min="15874" max="15874" width="22.109375" style="2" bestFit="1" customWidth="1"/>
    <col min="15875" max="15875" width="21.109375" style="2" customWidth="1"/>
    <col min="15876" max="15876" width="24.6640625" style="2" bestFit="1" customWidth="1"/>
    <col min="15877" max="15877" width="30.44140625" style="2" customWidth="1"/>
    <col min="15878" max="15878" width="25.6640625" style="2"/>
    <col min="15879" max="15879" width="25.33203125" style="2" bestFit="1" customWidth="1"/>
    <col min="15880" max="15880" width="24.33203125" style="2" bestFit="1" customWidth="1"/>
    <col min="15881" max="15881" width="16.44140625" style="2" bestFit="1" customWidth="1"/>
    <col min="15882" max="15882" width="13" style="2" bestFit="1" customWidth="1"/>
    <col min="15883" max="15883" width="11.109375" style="2" bestFit="1" customWidth="1"/>
    <col min="15884" max="15884" width="50.44140625" style="2" customWidth="1"/>
    <col min="15885" max="15885" width="24.6640625" style="2" bestFit="1" customWidth="1"/>
    <col min="15886" max="15886" width="24.88671875" style="2" bestFit="1" customWidth="1"/>
    <col min="15887" max="15887" width="25.44140625" style="2" bestFit="1" customWidth="1"/>
    <col min="15888" max="15888" width="25.33203125" style="2" bestFit="1" customWidth="1"/>
    <col min="15889" max="15889" width="14.6640625" style="2" bestFit="1" customWidth="1"/>
    <col min="15890" max="15890" width="25" style="2" bestFit="1" customWidth="1"/>
    <col min="15891" max="16128" width="25.6640625" style="2"/>
    <col min="16129" max="16129" width="5.44140625" style="2" customWidth="1"/>
    <col min="16130" max="16130" width="22.109375" style="2" bestFit="1" customWidth="1"/>
    <col min="16131" max="16131" width="21.109375" style="2" customWidth="1"/>
    <col min="16132" max="16132" width="24.6640625" style="2" bestFit="1" customWidth="1"/>
    <col min="16133" max="16133" width="30.44140625" style="2" customWidth="1"/>
    <col min="16134" max="16134" width="25.6640625" style="2"/>
    <col min="16135" max="16135" width="25.33203125" style="2" bestFit="1" customWidth="1"/>
    <col min="16136" max="16136" width="24.33203125" style="2" bestFit="1" customWidth="1"/>
    <col min="16137" max="16137" width="16.44140625" style="2" bestFit="1" customWidth="1"/>
    <col min="16138" max="16138" width="13" style="2" bestFit="1" customWidth="1"/>
    <col min="16139" max="16139" width="11.109375" style="2" bestFit="1" customWidth="1"/>
    <col min="16140" max="16140" width="50.44140625" style="2" customWidth="1"/>
    <col min="16141" max="16141" width="24.6640625" style="2" bestFit="1" customWidth="1"/>
    <col min="16142" max="16142" width="24.88671875" style="2" bestFit="1" customWidth="1"/>
    <col min="16143" max="16143" width="25.44140625" style="2" bestFit="1" customWidth="1"/>
    <col min="16144" max="16144" width="25.33203125" style="2" bestFit="1" customWidth="1"/>
    <col min="16145" max="16145" width="14.6640625" style="2" bestFit="1" customWidth="1"/>
    <col min="16146" max="16146" width="25" style="2" bestFit="1" customWidth="1"/>
    <col min="16147" max="16384" width="25.6640625" style="2"/>
  </cols>
  <sheetData>
    <row r="2" spans="1:19" s="1" customFormat="1" ht="27" customHeight="1">
      <c r="B2" s="77" t="s">
        <v>52</v>
      </c>
      <c r="C2" s="77"/>
      <c r="D2" s="77"/>
      <c r="E2" s="77"/>
      <c r="F2" s="77"/>
      <c r="G2" s="77"/>
      <c r="H2" s="77"/>
      <c r="I2" s="77"/>
      <c r="S2" s="2"/>
    </row>
    <row r="3" spans="1:19" s="1" customFormat="1" ht="81.599999999999994" customHeight="1">
      <c r="B3" s="16" t="s">
        <v>0</v>
      </c>
      <c r="C3" s="16" t="s">
        <v>1</v>
      </c>
      <c r="D3" s="16" t="s">
        <v>2</v>
      </c>
      <c r="E3" s="16" t="s">
        <v>3</v>
      </c>
      <c r="F3" s="16" t="s">
        <v>34</v>
      </c>
      <c r="G3" s="16" t="s">
        <v>35</v>
      </c>
      <c r="H3" s="16" t="s">
        <v>36</v>
      </c>
      <c r="I3" s="16" t="s">
        <v>37</v>
      </c>
    </row>
    <row r="4" spans="1:19" ht="14.4" customHeight="1">
      <c r="A4" s="71" t="s">
        <v>38</v>
      </c>
      <c r="B4" s="64">
        <v>43623</v>
      </c>
      <c r="C4" s="35">
        <f>2244.99*((30-7+1)/30)</f>
        <v>1795.992</v>
      </c>
      <c r="D4" s="35">
        <f>0.066*((30-7+1)/30)</f>
        <v>5.2800000000000007E-2</v>
      </c>
      <c r="E4" s="36">
        <f t="shared" ref="E4:E10" si="0">C4-D4</f>
        <v>1795.9392</v>
      </c>
      <c r="F4" s="36">
        <f>E4*$F$73</f>
        <v>970.34594976000005</v>
      </c>
      <c r="G4" s="36">
        <v>0</v>
      </c>
      <c r="H4" s="36">
        <v>0</v>
      </c>
      <c r="I4" s="36">
        <f t="shared" ref="I4:I10" si="1">F4-G4-H4</f>
        <v>970.34594976000005</v>
      </c>
      <c r="L4" s="17"/>
      <c r="M4" s="17"/>
      <c r="N4" s="17"/>
      <c r="O4" s="17"/>
      <c r="P4" s="17"/>
    </row>
    <row r="5" spans="1:19" ht="13.8">
      <c r="B5" s="64">
        <v>43647</v>
      </c>
      <c r="C5" s="35">
        <v>3369.8980000000001</v>
      </c>
      <c r="D5" s="35">
        <v>0.23699999999999999</v>
      </c>
      <c r="E5" s="36">
        <f t="shared" si="0"/>
        <v>3369.6610000000001</v>
      </c>
      <c r="F5" s="36">
        <f>E5*$F$73</f>
        <v>1820.6278383000001</v>
      </c>
      <c r="G5" s="36">
        <v>0</v>
      </c>
      <c r="H5" s="36">
        <v>0</v>
      </c>
      <c r="I5" s="36">
        <f t="shared" si="1"/>
        <v>1820.6278383000001</v>
      </c>
      <c r="L5" s="17"/>
      <c r="M5" s="17"/>
      <c r="N5" s="17"/>
      <c r="O5" s="17"/>
      <c r="P5" s="17"/>
    </row>
    <row r="6" spans="1:19" ht="13.8">
      <c r="B6" s="64">
        <v>43678</v>
      </c>
      <c r="C6" s="35">
        <v>3404.788</v>
      </c>
      <c r="D6" s="35">
        <v>0.14199999999999999</v>
      </c>
      <c r="E6" s="36">
        <f t="shared" si="0"/>
        <v>3404.6460000000002</v>
      </c>
      <c r="F6" s="36">
        <f>E6*$F$73</f>
        <v>1839.5302338000001</v>
      </c>
      <c r="G6" s="36">
        <v>0</v>
      </c>
      <c r="H6" s="36">
        <v>0</v>
      </c>
      <c r="I6" s="36">
        <f t="shared" si="1"/>
        <v>1839.5302338000001</v>
      </c>
      <c r="L6" s="17"/>
      <c r="M6" s="17"/>
      <c r="N6" s="17"/>
      <c r="O6" s="17"/>
      <c r="P6" s="17"/>
    </row>
    <row r="7" spans="1:19" ht="13.8">
      <c r="B7" s="64">
        <v>43709</v>
      </c>
      <c r="C7" s="35">
        <v>1055.5650000000001</v>
      </c>
      <c r="D7" s="35">
        <v>8.9999999999999993E-3</v>
      </c>
      <c r="E7" s="36">
        <f t="shared" si="0"/>
        <v>1055.556</v>
      </c>
      <c r="F7" s="36">
        <f>E7*$F$73</f>
        <v>570.31690679999997</v>
      </c>
      <c r="G7" s="36">
        <v>0</v>
      </c>
      <c r="H7" s="36">
        <v>0</v>
      </c>
      <c r="I7" s="36">
        <f t="shared" si="1"/>
        <v>570.31690679999997</v>
      </c>
      <c r="K7" s="23"/>
      <c r="L7" s="17"/>
      <c r="M7" s="17"/>
      <c r="N7" s="17"/>
      <c r="O7" s="17"/>
      <c r="P7" s="17"/>
    </row>
    <row r="8" spans="1:19" ht="13.8">
      <c r="B8" s="64">
        <v>43739</v>
      </c>
      <c r="C8" s="35">
        <v>286.137</v>
      </c>
      <c r="D8" s="35">
        <v>2.5990000000000002</v>
      </c>
      <c r="E8" s="36">
        <f t="shared" si="0"/>
        <v>283.53800000000001</v>
      </c>
      <c r="F8" s="36">
        <f>E8*$F$73</f>
        <v>153.19558140000001</v>
      </c>
      <c r="G8" s="36">
        <v>0</v>
      </c>
      <c r="H8" s="36">
        <v>0</v>
      </c>
      <c r="I8" s="36">
        <f t="shared" si="1"/>
        <v>153.19558140000001</v>
      </c>
      <c r="K8" s="23"/>
      <c r="L8" s="17"/>
      <c r="M8" s="17"/>
      <c r="N8" s="17"/>
      <c r="O8" s="17"/>
      <c r="P8" s="17"/>
    </row>
    <row r="9" spans="1:19" ht="13.8">
      <c r="B9" s="64">
        <v>43770</v>
      </c>
      <c r="C9" s="35">
        <v>0</v>
      </c>
      <c r="D9" s="35">
        <v>7.835</v>
      </c>
      <c r="E9" s="36">
        <f t="shared" si="0"/>
        <v>-7.835</v>
      </c>
      <c r="F9" s="36">
        <f>E9*$F$73</f>
        <v>-4.2332504999999996</v>
      </c>
      <c r="G9" s="36">
        <v>0</v>
      </c>
      <c r="H9" s="36">
        <v>0</v>
      </c>
      <c r="I9" s="36">
        <f t="shared" si="1"/>
        <v>-4.2332504999999996</v>
      </c>
      <c r="K9" s="23"/>
      <c r="L9" s="17"/>
      <c r="M9" s="17"/>
      <c r="N9" s="17"/>
      <c r="O9" s="17"/>
      <c r="P9" s="17"/>
    </row>
    <row r="10" spans="1:19" ht="13.8">
      <c r="B10" s="64">
        <v>43800</v>
      </c>
      <c r="C10" s="35">
        <v>9.5000000000000001E-2</v>
      </c>
      <c r="D10" s="35">
        <v>15.044</v>
      </c>
      <c r="E10" s="36">
        <f t="shared" si="0"/>
        <v>-14.949</v>
      </c>
      <c r="F10" s="36">
        <f>E10*$F$73</f>
        <v>-8.0769447000000003</v>
      </c>
      <c r="G10" s="36">
        <v>0</v>
      </c>
      <c r="H10" s="36">
        <v>0</v>
      </c>
      <c r="I10" s="36">
        <f t="shared" si="1"/>
        <v>-8.0769447000000003</v>
      </c>
      <c r="K10" s="23"/>
      <c r="L10" s="17"/>
      <c r="M10" s="17"/>
      <c r="N10" s="17"/>
      <c r="O10" s="17"/>
      <c r="P10" s="17"/>
    </row>
    <row r="11" spans="1:19" ht="13.8">
      <c r="B11" s="4" t="s">
        <v>4</v>
      </c>
      <c r="C11" s="14">
        <f>SUM(C4:C10)</f>
        <v>9912.4750000000004</v>
      </c>
      <c r="D11" s="14">
        <f>SUM(D4:D10)</f>
        <v>25.918800000000001</v>
      </c>
      <c r="E11" s="14">
        <f>SUM(E4:E10)</f>
        <v>9886.5562000000009</v>
      </c>
      <c r="F11" s="14">
        <f>ROUNDDOWN(SUM(F4:F10),0)</f>
        <v>5341</v>
      </c>
      <c r="G11" s="14">
        <f>SUM(G4:G10)</f>
        <v>0</v>
      </c>
      <c r="H11" s="14">
        <f>SUM(H4:H10)</f>
        <v>0</v>
      </c>
      <c r="I11" s="14">
        <f>ROUNDDOWN(SUM(I4:I10),0)</f>
        <v>5341</v>
      </c>
      <c r="K11" s="23"/>
      <c r="L11" s="17"/>
      <c r="M11" s="17"/>
      <c r="N11" s="17"/>
      <c r="O11" s="17"/>
      <c r="P11" s="17"/>
    </row>
    <row r="12" spans="1:19" ht="13.8">
      <c r="B12" s="64">
        <v>43831</v>
      </c>
      <c r="C12" s="35">
        <v>0</v>
      </c>
      <c r="D12" s="35">
        <v>16.007999999999999</v>
      </c>
      <c r="E12" s="36">
        <f t="shared" ref="E12:E23" si="2">C12-D12</f>
        <v>-16.007999999999999</v>
      </c>
      <c r="F12" s="36">
        <f>E12*$F$73</f>
        <v>-8.6491223999999995</v>
      </c>
      <c r="G12" s="36">
        <v>0</v>
      </c>
      <c r="H12" s="36">
        <v>0</v>
      </c>
      <c r="I12" s="3">
        <f t="shared" ref="I12:I23" si="3">F12-G12-H12</f>
        <v>-8.6491223999999995</v>
      </c>
      <c r="L12" s="17"/>
      <c r="M12" s="17"/>
      <c r="N12" s="17"/>
      <c r="O12" s="17"/>
      <c r="P12" s="17"/>
    </row>
    <row r="13" spans="1:19" ht="13.8">
      <c r="B13" s="64">
        <v>43862</v>
      </c>
      <c r="C13" s="35">
        <v>0</v>
      </c>
      <c r="D13" s="35">
        <v>14.836</v>
      </c>
      <c r="E13" s="36">
        <f t="shared" si="2"/>
        <v>-14.836</v>
      </c>
      <c r="F13" s="36">
        <f>E13*$F$73</f>
        <v>-8.0158907999999993</v>
      </c>
      <c r="G13" s="36">
        <v>0</v>
      </c>
      <c r="H13" s="36">
        <v>0</v>
      </c>
      <c r="I13" s="3">
        <f t="shared" si="3"/>
        <v>-8.0158907999999993</v>
      </c>
      <c r="L13" s="17"/>
      <c r="M13" s="17"/>
      <c r="N13" s="17"/>
      <c r="O13" s="17"/>
      <c r="P13" s="17"/>
    </row>
    <row r="14" spans="1:19" ht="13.8">
      <c r="B14" s="64">
        <v>43891</v>
      </c>
      <c r="C14" s="35">
        <v>0</v>
      </c>
      <c r="D14" s="35">
        <v>12.894</v>
      </c>
      <c r="E14" s="36">
        <f t="shared" si="2"/>
        <v>-12.894</v>
      </c>
      <c r="F14" s="36">
        <f>E14*$F$73</f>
        <v>-6.9666281999999997</v>
      </c>
      <c r="G14" s="36">
        <v>0</v>
      </c>
      <c r="H14" s="36">
        <v>0</v>
      </c>
      <c r="I14" s="3">
        <f t="shared" si="3"/>
        <v>-6.9666281999999997</v>
      </c>
      <c r="L14" s="17"/>
      <c r="M14" s="17"/>
      <c r="N14" s="17"/>
      <c r="O14" s="17"/>
      <c r="P14" s="17"/>
    </row>
    <row r="15" spans="1:19" ht="13.8">
      <c r="B15" s="64">
        <v>43922</v>
      </c>
      <c r="C15" s="35">
        <v>465.31799999999998</v>
      </c>
      <c r="D15" s="35">
        <v>6.8609999999999998</v>
      </c>
      <c r="E15" s="36">
        <f t="shared" si="2"/>
        <v>458.45699999999999</v>
      </c>
      <c r="F15" s="36">
        <f>E15*$F$73</f>
        <v>247.7043171</v>
      </c>
      <c r="G15" s="36">
        <v>0</v>
      </c>
      <c r="H15" s="36">
        <v>0</v>
      </c>
      <c r="I15" s="3">
        <f t="shared" si="3"/>
        <v>247.7043171</v>
      </c>
      <c r="L15" s="17"/>
      <c r="M15" s="17"/>
      <c r="N15" s="17"/>
      <c r="O15" s="17"/>
      <c r="P15" s="17"/>
    </row>
    <row r="16" spans="1:19" ht="13.8">
      <c r="B16" s="64">
        <v>43952</v>
      </c>
      <c r="C16" s="35">
        <v>437.69600000000003</v>
      </c>
      <c r="D16" s="35">
        <v>5.32</v>
      </c>
      <c r="E16" s="36">
        <f t="shared" si="2"/>
        <v>432.37600000000003</v>
      </c>
      <c r="F16" s="36">
        <f>E16*$F$73</f>
        <v>233.61275280000001</v>
      </c>
      <c r="G16" s="36">
        <v>0</v>
      </c>
      <c r="H16" s="36">
        <v>0</v>
      </c>
      <c r="I16" s="3">
        <f t="shared" si="3"/>
        <v>233.61275280000001</v>
      </c>
      <c r="L16" s="17"/>
      <c r="M16" s="17"/>
      <c r="N16" s="17"/>
      <c r="O16" s="17"/>
      <c r="P16" s="17"/>
    </row>
    <row r="17" spans="2:16" ht="13.8">
      <c r="B17" s="64">
        <v>43983</v>
      </c>
      <c r="C17" s="37">
        <v>2510.355</v>
      </c>
      <c r="D17" s="37">
        <v>0.85</v>
      </c>
      <c r="E17" s="38">
        <f t="shared" si="2"/>
        <v>2509.5050000000001</v>
      </c>
      <c r="F17" s="36">
        <f>E17*$F$73</f>
        <v>1355.8855515</v>
      </c>
      <c r="G17" s="36">
        <v>0</v>
      </c>
      <c r="H17" s="36">
        <v>0</v>
      </c>
      <c r="I17" s="3">
        <f t="shared" si="3"/>
        <v>1355.8855515</v>
      </c>
      <c r="L17" s="17"/>
      <c r="M17" s="17"/>
      <c r="N17" s="17"/>
      <c r="O17" s="17"/>
      <c r="P17" s="17"/>
    </row>
    <row r="18" spans="2:16" ht="13.8">
      <c r="B18" s="64">
        <v>44013</v>
      </c>
      <c r="C18" s="35">
        <v>3615.8539999999998</v>
      </c>
      <c r="D18" s="35">
        <v>4.7E-2</v>
      </c>
      <c r="E18" s="36">
        <f t="shared" si="2"/>
        <v>3615.8069999999998</v>
      </c>
      <c r="F18" s="36">
        <f>E18*$F$73</f>
        <v>1953.6205220999998</v>
      </c>
      <c r="G18" s="36">
        <v>0</v>
      </c>
      <c r="H18" s="36">
        <v>0</v>
      </c>
      <c r="I18" s="3">
        <f t="shared" si="3"/>
        <v>1953.6205220999998</v>
      </c>
      <c r="L18" s="17"/>
      <c r="M18" s="17"/>
      <c r="N18" s="17"/>
      <c r="O18" s="17"/>
      <c r="P18" s="17"/>
    </row>
    <row r="19" spans="2:16" ht="13.8">
      <c r="B19" s="64">
        <v>44044</v>
      </c>
      <c r="C19" s="35">
        <v>3205.5250000000001</v>
      </c>
      <c r="D19" s="35">
        <v>0.36899999999999999</v>
      </c>
      <c r="E19" s="36">
        <f t="shared" si="2"/>
        <v>3205.1559999999999</v>
      </c>
      <c r="F19" s="36">
        <f>E19*$F$73</f>
        <v>1731.7457867999999</v>
      </c>
      <c r="G19" s="36">
        <v>0</v>
      </c>
      <c r="H19" s="36">
        <v>0</v>
      </c>
      <c r="I19" s="3">
        <f t="shared" si="3"/>
        <v>1731.7457867999999</v>
      </c>
      <c r="L19" s="17"/>
      <c r="M19" s="17"/>
      <c r="N19" s="17"/>
      <c r="O19" s="17"/>
      <c r="P19" s="17"/>
    </row>
    <row r="20" spans="2:16" ht="13.8">
      <c r="B20" s="64">
        <v>44075</v>
      </c>
      <c r="C20" s="35">
        <v>652.64499999999998</v>
      </c>
      <c r="D20" s="35">
        <v>2.57</v>
      </c>
      <c r="E20" s="36">
        <f t="shared" si="2"/>
        <v>650.07499999999993</v>
      </c>
      <c r="F20" s="36">
        <f>E20*$F$73</f>
        <v>351.23552249999995</v>
      </c>
      <c r="G20" s="36">
        <v>0</v>
      </c>
      <c r="H20" s="36">
        <v>0</v>
      </c>
      <c r="I20" s="3">
        <f t="shared" si="3"/>
        <v>351.23552249999995</v>
      </c>
      <c r="K20" s="23"/>
      <c r="L20" s="17"/>
      <c r="M20" s="17"/>
      <c r="N20" s="17"/>
      <c r="O20" s="17"/>
      <c r="P20" s="17"/>
    </row>
    <row r="21" spans="2:16" ht="13.8">
      <c r="B21" s="64">
        <v>44105</v>
      </c>
      <c r="C21" s="35">
        <v>0</v>
      </c>
      <c r="D21" s="35">
        <v>4.5359999999999996</v>
      </c>
      <c r="E21" s="36">
        <f t="shared" si="2"/>
        <v>-4.5359999999999996</v>
      </c>
      <c r="F21" s="36">
        <f>E21*$F$73</f>
        <v>-2.4508007999999997</v>
      </c>
      <c r="G21" s="36">
        <v>0</v>
      </c>
      <c r="H21" s="36">
        <v>0</v>
      </c>
      <c r="I21" s="3">
        <f t="shared" si="3"/>
        <v>-2.4508007999999997</v>
      </c>
      <c r="K21" s="23"/>
      <c r="L21" s="17"/>
      <c r="M21" s="17"/>
      <c r="N21" s="17"/>
      <c r="O21" s="17"/>
      <c r="P21" s="17"/>
    </row>
    <row r="22" spans="2:16" ht="13.8">
      <c r="B22" s="64">
        <v>44136</v>
      </c>
      <c r="C22" s="35">
        <v>0</v>
      </c>
      <c r="D22" s="35">
        <v>11.273999999999999</v>
      </c>
      <c r="E22" s="36">
        <f t="shared" si="2"/>
        <v>-11.273999999999999</v>
      </c>
      <c r="F22" s="36">
        <f>E22*$F$73</f>
        <v>-6.0913421999999997</v>
      </c>
      <c r="G22" s="36">
        <v>0</v>
      </c>
      <c r="H22" s="36">
        <v>0</v>
      </c>
      <c r="I22" s="3">
        <f t="shared" si="3"/>
        <v>-6.0913421999999997</v>
      </c>
      <c r="K22" s="23"/>
      <c r="L22" s="17"/>
      <c r="M22" s="17"/>
      <c r="N22" s="17"/>
      <c r="O22" s="17"/>
      <c r="P22" s="17"/>
    </row>
    <row r="23" spans="2:16" ht="13.8">
      <c r="B23" s="64">
        <v>44166</v>
      </c>
      <c r="C23" s="35">
        <v>0</v>
      </c>
      <c r="D23" s="31">
        <v>11.756</v>
      </c>
      <c r="E23" s="3">
        <f t="shared" si="2"/>
        <v>-11.756</v>
      </c>
      <c r="F23" s="36">
        <f>E23*$F$73</f>
        <v>-6.3517668</v>
      </c>
      <c r="G23" s="36">
        <v>0</v>
      </c>
      <c r="H23" s="36">
        <v>0</v>
      </c>
      <c r="I23" s="3">
        <f t="shared" si="3"/>
        <v>-6.3517668</v>
      </c>
      <c r="K23" s="23"/>
      <c r="L23" s="17"/>
      <c r="M23" s="17"/>
      <c r="N23" s="17"/>
      <c r="O23" s="17"/>
      <c r="P23" s="17"/>
    </row>
    <row r="24" spans="2:16" ht="13.8">
      <c r="B24" s="4" t="s">
        <v>5</v>
      </c>
      <c r="C24" s="14">
        <f>SUM(C12:C23)</f>
        <v>10887.393</v>
      </c>
      <c r="D24" s="14">
        <f>SUM(D12:D23)</f>
        <v>87.320999999999998</v>
      </c>
      <c r="E24" s="14">
        <f>SUM(E12:E23)</f>
        <v>10800.072000000002</v>
      </c>
      <c r="F24" s="14">
        <f>ROUNDDOWN(SUM(F12:F23),0)</f>
        <v>5835</v>
      </c>
      <c r="G24" s="14">
        <f>SUM(G12:G23)</f>
        <v>0</v>
      </c>
      <c r="H24" s="14">
        <f>SUM(H12:H23)</f>
        <v>0</v>
      </c>
      <c r="I24" s="14">
        <f>ROUNDDOWN(SUM(I12:I23),0)</f>
        <v>5835</v>
      </c>
      <c r="K24" s="23"/>
      <c r="L24" s="17"/>
      <c r="M24" s="17"/>
      <c r="N24" s="17"/>
      <c r="O24" s="17"/>
      <c r="P24" s="17"/>
    </row>
    <row r="25" spans="2:16" ht="13.8">
      <c r="B25" s="64">
        <v>44197</v>
      </c>
      <c r="C25" s="35">
        <v>0</v>
      </c>
      <c r="D25" s="35">
        <v>11.491</v>
      </c>
      <c r="E25" s="36">
        <f>C25-D25</f>
        <v>-11.491</v>
      </c>
      <c r="F25" s="36">
        <f>E25*$F$73</f>
        <v>-6.2085872999999996</v>
      </c>
      <c r="G25" s="36">
        <v>0</v>
      </c>
      <c r="H25" s="36">
        <v>0</v>
      </c>
      <c r="I25" s="3">
        <f>F25-G25-H25</f>
        <v>-6.2085872999999996</v>
      </c>
      <c r="K25" s="23"/>
      <c r="L25" s="17"/>
      <c r="M25" s="17"/>
      <c r="N25" s="17"/>
      <c r="O25" s="17"/>
      <c r="P25" s="17"/>
    </row>
    <row r="26" spans="2:16" ht="13.8">
      <c r="B26" s="64">
        <v>44228</v>
      </c>
      <c r="C26" s="35">
        <v>0</v>
      </c>
      <c r="D26" s="35">
        <v>10.507999999999999</v>
      </c>
      <c r="E26" s="3">
        <f>C26-D26</f>
        <v>-10.507999999999999</v>
      </c>
      <c r="F26" s="36">
        <f>E26*$F$73</f>
        <v>-5.6774723999999992</v>
      </c>
      <c r="G26" s="36">
        <v>0</v>
      </c>
      <c r="H26" s="36">
        <v>0</v>
      </c>
      <c r="I26" s="3">
        <f t="shared" ref="I26:I36" si="4">F26-G26-H26</f>
        <v>-5.6774723999999992</v>
      </c>
      <c r="K26" s="23"/>
      <c r="L26" s="17"/>
      <c r="M26" s="17"/>
      <c r="N26" s="17"/>
      <c r="O26" s="17"/>
      <c r="P26" s="17"/>
    </row>
    <row r="27" spans="2:16" ht="13.8">
      <c r="B27" s="64">
        <v>44256</v>
      </c>
      <c r="C27" s="35">
        <v>0</v>
      </c>
      <c r="D27" s="35">
        <v>11.926</v>
      </c>
      <c r="E27" s="36">
        <f t="shared" ref="E27:E36" si="5">C27-D27</f>
        <v>-11.926</v>
      </c>
      <c r="F27" s="36">
        <f>E27*$F$73</f>
        <v>-6.4436178000000002</v>
      </c>
      <c r="G27" s="36">
        <v>0</v>
      </c>
      <c r="H27" s="36">
        <v>0</v>
      </c>
      <c r="I27" s="3">
        <f t="shared" si="4"/>
        <v>-6.4436178000000002</v>
      </c>
      <c r="K27" s="23"/>
      <c r="L27" s="17"/>
      <c r="M27" s="17"/>
      <c r="N27" s="17"/>
      <c r="O27" s="17"/>
      <c r="P27" s="17"/>
    </row>
    <row r="28" spans="2:16" ht="13.8">
      <c r="B28" s="64">
        <v>44287</v>
      </c>
      <c r="C28" s="35">
        <v>234.06700000000001</v>
      </c>
      <c r="D28" s="35">
        <v>6.9269999999999996</v>
      </c>
      <c r="E28" s="3">
        <f t="shared" si="5"/>
        <v>227.14000000000001</v>
      </c>
      <c r="F28" s="36">
        <f>E28*$F$73</f>
        <v>122.72374200000002</v>
      </c>
      <c r="G28" s="36">
        <v>0</v>
      </c>
      <c r="H28" s="36">
        <v>0</v>
      </c>
      <c r="I28" s="3">
        <f t="shared" si="4"/>
        <v>122.72374200000002</v>
      </c>
      <c r="K28" s="23"/>
      <c r="L28" s="17"/>
      <c r="M28" s="17"/>
      <c r="N28" s="17"/>
      <c r="O28" s="17"/>
      <c r="P28" s="17"/>
    </row>
    <row r="29" spans="2:16" ht="13.8">
      <c r="B29" s="64">
        <v>44317</v>
      </c>
      <c r="C29" s="35">
        <v>271.91399999999999</v>
      </c>
      <c r="D29" s="35">
        <v>3.0990000000000002</v>
      </c>
      <c r="E29" s="36">
        <f t="shared" si="5"/>
        <v>268.815</v>
      </c>
      <c r="F29" s="36">
        <f>E29*$F$73</f>
        <v>145.24074450000001</v>
      </c>
      <c r="G29" s="36">
        <v>0</v>
      </c>
      <c r="H29" s="36">
        <v>0</v>
      </c>
      <c r="I29" s="3">
        <f t="shared" si="4"/>
        <v>145.24074450000001</v>
      </c>
      <c r="K29" s="23"/>
      <c r="L29" s="17"/>
      <c r="M29" s="17"/>
      <c r="N29" s="17"/>
      <c r="O29" s="17"/>
      <c r="P29" s="17"/>
    </row>
    <row r="30" spans="2:16" ht="13.8">
      <c r="B30" s="64">
        <v>44348</v>
      </c>
      <c r="C30" s="35">
        <v>1537.931</v>
      </c>
      <c r="D30" s="35">
        <v>1.7769999999999999</v>
      </c>
      <c r="E30" s="3">
        <f t="shared" si="5"/>
        <v>1536.154</v>
      </c>
      <c r="F30" s="36">
        <f>E30*$F$73</f>
        <v>829.98400619999995</v>
      </c>
      <c r="G30" s="36">
        <v>0</v>
      </c>
      <c r="H30" s="36">
        <v>0</v>
      </c>
      <c r="I30" s="3">
        <f t="shared" si="4"/>
        <v>829.98400619999995</v>
      </c>
      <c r="K30" s="23"/>
      <c r="L30" s="17"/>
      <c r="M30" s="17"/>
      <c r="N30" s="17"/>
      <c r="O30" s="17"/>
      <c r="P30" s="17"/>
    </row>
    <row r="31" spans="2:16" ht="13.8">
      <c r="B31" s="64">
        <v>44378</v>
      </c>
      <c r="C31" s="35">
        <v>3593.4290000000001</v>
      </c>
      <c r="D31" s="35">
        <v>5.7000000000000002E-2</v>
      </c>
      <c r="E31" s="36">
        <f t="shared" si="5"/>
        <v>3593.3720000000003</v>
      </c>
      <c r="F31" s="36">
        <f>E31*$F$73</f>
        <v>1941.4988916000002</v>
      </c>
      <c r="G31" s="36">
        <v>0</v>
      </c>
      <c r="H31" s="36">
        <v>0</v>
      </c>
      <c r="I31" s="3">
        <f t="shared" si="4"/>
        <v>1941.4988916000002</v>
      </c>
      <c r="K31" s="23"/>
      <c r="L31" s="17"/>
      <c r="M31" s="17"/>
      <c r="N31" s="17"/>
      <c r="O31" s="17"/>
      <c r="P31" s="17"/>
    </row>
    <row r="32" spans="2:16" ht="13.8">
      <c r="B32" s="64">
        <v>44409</v>
      </c>
      <c r="C32" s="35">
        <v>330.53300000000002</v>
      </c>
      <c r="D32" s="35">
        <v>2.976</v>
      </c>
      <c r="E32" s="3">
        <f t="shared" si="5"/>
        <v>327.55700000000002</v>
      </c>
      <c r="F32" s="36">
        <f>E32*$F$73</f>
        <v>176.9790471</v>
      </c>
      <c r="G32" s="36">
        <v>0</v>
      </c>
      <c r="H32" s="36">
        <v>0</v>
      </c>
      <c r="I32" s="3">
        <f t="shared" si="4"/>
        <v>176.9790471</v>
      </c>
      <c r="K32" s="23"/>
      <c r="L32" s="17"/>
      <c r="M32" s="17"/>
      <c r="N32" s="17"/>
      <c r="O32" s="17"/>
      <c r="P32" s="17"/>
    </row>
    <row r="33" spans="2:16" ht="13.8">
      <c r="B33" s="64">
        <v>44440</v>
      </c>
      <c r="C33" s="35">
        <v>0</v>
      </c>
      <c r="D33" s="35">
        <v>4.3940000000000001</v>
      </c>
      <c r="E33" s="36">
        <f t="shared" si="5"/>
        <v>-4.3940000000000001</v>
      </c>
      <c r="F33" s="36">
        <f>E33*$F$73</f>
        <v>-2.3740782</v>
      </c>
      <c r="G33" s="36">
        <v>0</v>
      </c>
      <c r="H33" s="36">
        <v>0</v>
      </c>
      <c r="I33" s="3">
        <f t="shared" si="4"/>
        <v>-2.3740782</v>
      </c>
      <c r="K33" s="23"/>
      <c r="L33" s="17"/>
      <c r="M33" s="17"/>
      <c r="N33" s="17"/>
      <c r="O33" s="17"/>
      <c r="P33" s="17"/>
    </row>
    <row r="34" spans="2:16" ht="13.8">
      <c r="B34" s="64">
        <v>44470</v>
      </c>
      <c r="C34" s="35">
        <v>0</v>
      </c>
      <c r="D34" s="35">
        <v>6.5110000000000001</v>
      </c>
      <c r="E34" s="3">
        <f t="shared" si="5"/>
        <v>-6.5110000000000001</v>
      </c>
      <c r="F34" s="36">
        <f>E34*$F$73</f>
        <v>-3.5178932999999999</v>
      </c>
      <c r="G34" s="36">
        <v>0</v>
      </c>
      <c r="H34" s="36">
        <v>0</v>
      </c>
      <c r="I34" s="3">
        <f t="shared" si="4"/>
        <v>-3.5178932999999999</v>
      </c>
      <c r="K34" s="23"/>
      <c r="L34" s="17"/>
      <c r="M34" s="17"/>
      <c r="N34" s="17"/>
      <c r="O34" s="17"/>
      <c r="P34" s="17"/>
    </row>
    <row r="35" spans="2:16" ht="13.8">
      <c r="B35" s="64">
        <v>44501</v>
      </c>
      <c r="C35" s="35">
        <v>0</v>
      </c>
      <c r="D35" s="35">
        <v>9.0440000000000005</v>
      </c>
      <c r="E35" s="36">
        <f t="shared" si="5"/>
        <v>-9.0440000000000005</v>
      </c>
      <c r="F35" s="36">
        <f>E35*$F$73</f>
        <v>-4.8864732000000002</v>
      </c>
      <c r="G35" s="36">
        <v>0</v>
      </c>
      <c r="H35" s="36">
        <v>0</v>
      </c>
      <c r="I35" s="3">
        <f t="shared" si="4"/>
        <v>-4.8864732000000002</v>
      </c>
      <c r="K35" s="23"/>
      <c r="L35" s="17"/>
      <c r="M35" s="17"/>
      <c r="N35" s="17"/>
      <c r="O35" s="17"/>
      <c r="P35" s="17"/>
    </row>
    <row r="36" spans="2:16" ht="13.8">
      <c r="B36" s="64">
        <v>44531</v>
      </c>
      <c r="C36" s="35">
        <v>0</v>
      </c>
      <c r="D36" s="35">
        <v>11.189</v>
      </c>
      <c r="E36" s="3">
        <f t="shared" si="5"/>
        <v>-11.189</v>
      </c>
      <c r="F36" s="36">
        <f>E36*$F$73</f>
        <v>-6.0454166999999996</v>
      </c>
      <c r="G36" s="36">
        <v>0</v>
      </c>
      <c r="H36" s="36">
        <v>0</v>
      </c>
      <c r="I36" s="3">
        <f t="shared" si="4"/>
        <v>-6.0454166999999996</v>
      </c>
      <c r="K36" s="23"/>
      <c r="L36" s="17"/>
      <c r="M36" s="17"/>
      <c r="N36" s="17"/>
      <c r="O36" s="17"/>
      <c r="P36" s="17"/>
    </row>
    <row r="37" spans="2:16" ht="13.8">
      <c r="B37" s="4" t="s">
        <v>6</v>
      </c>
      <c r="C37" s="14">
        <f>SUM(C25:C36)</f>
        <v>5967.8740000000007</v>
      </c>
      <c r="D37" s="14">
        <f>SUM(D25:D36)</f>
        <v>79.899000000000001</v>
      </c>
      <c r="E37" s="14">
        <f>SUM(E25:E36)</f>
        <v>5887.9749999999995</v>
      </c>
      <c r="F37" s="14">
        <f>ROUNDDOWN(SUM(F25:F36),0)</f>
        <v>3181</v>
      </c>
      <c r="G37" s="14">
        <f>SUM(G25:G36)</f>
        <v>0</v>
      </c>
      <c r="H37" s="14">
        <f>SUM(H25:H36)</f>
        <v>0</v>
      </c>
      <c r="I37" s="14">
        <f>ROUNDDOWN(SUM(I25:I36), 0)</f>
        <v>3181</v>
      </c>
      <c r="K37" s="23"/>
      <c r="L37" s="17"/>
      <c r="M37" s="17"/>
      <c r="N37" s="17"/>
      <c r="O37" s="17"/>
      <c r="P37" s="17"/>
    </row>
    <row r="38" spans="2:16" ht="13.8">
      <c r="B38" s="64">
        <v>44562</v>
      </c>
      <c r="C38" s="35">
        <v>0</v>
      </c>
      <c r="D38" s="35">
        <v>12.965</v>
      </c>
      <c r="E38" s="36">
        <f t="shared" ref="E38:E48" si="6">C38-D38</f>
        <v>-12.965</v>
      </c>
      <c r="F38" s="36">
        <f>E38*$F$73</f>
        <v>-7.0049894999999998</v>
      </c>
      <c r="G38" s="36">
        <v>0</v>
      </c>
      <c r="H38" s="36">
        <v>0</v>
      </c>
      <c r="I38" s="3">
        <f>F38-G38-H38</f>
        <v>-7.0049894999999998</v>
      </c>
      <c r="K38" s="23"/>
      <c r="L38" s="17"/>
      <c r="M38" s="17"/>
      <c r="N38" s="17"/>
      <c r="O38" s="17"/>
      <c r="P38" s="17"/>
    </row>
    <row r="39" spans="2:16" ht="13.8">
      <c r="B39" s="64">
        <v>44593</v>
      </c>
      <c r="C39" s="35">
        <v>50.454000000000001</v>
      </c>
      <c r="D39" s="35">
        <v>11.122999999999999</v>
      </c>
      <c r="E39" s="3">
        <f t="shared" si="6"/>
        <v>39.331000000000003</v>
      </c>
      <c r="F39" s="36">
        <f>E39*$F$73</f>
        <v>21.250539300000003</v>
      </c>
      <c r="G39" s="36">
        <v>0</v>
      </c>
      <c r="H39" s="36">
        <v>0</v>
      </c>
      <c r="I39" s="3">
        <f t="shared" ref="I39:I49" si="7">F39-G39-H39</f>
        <v>21.250539300000003</v>
      </c>
      <c r="K39" s="23"/>
      <c r="L39" s="17"/>
      <c r="M39" s="17"/>
      <c r="N39" s="17"/>
      <c r="O39" s="17"/>
      <c r="P39" s="17"/>
    </row>
    <row r="40" spans="2:16" ht="13.35" customHeight="1">
      <c r="B40" s="64">
        <v>44621</v>
      </c>
      <c r="C40" s="35">
        <v>1971.0619999999999</v>
      </c>
      <c r="D40" s="35">
        <v>4.8570000000000002</v>
      </c>
      <c r="E40" s="36">
        <f t="shared" si="6"/>
        <v>1966.2049999999999</v>
      </c>
      <c r="F40" s="36">
        <f>E40*$F$73</f>
        <v>1062.3405614999999</v>
      </c>
      <c r="G40" s="36">
        <v>0</v>
      </c>
      <c r="H40" s="36">
        <v>0</v>
      </c>
      <c r="I40" s="3">
        <f t="shared" si="7"/>
        <v>1062.3405614999999</v>
      </c>
      <c r="K40" s="23"/>
      <c r="L40" s="17"/>
      <c r="M40" s="17"/>
      <c r="N40" s="17"/>
      <c r="O40" s="17"/>
      <c r="P40" s="17"/>
    </row>
    <row r="41" spans="2:16" ht="13.35" customHeight="1">
      <c r="B41" s="64">
        <v>44652</v>
      </c>
      <c r="C41" s="35">
        <v>2301.047</v>
      </c>
      <c r="D41" s="35">
        <v>0.82199999999999995</v>
      </c>
      <c r="E41" s="3">
        <f t="shared" si="6"/>
        <v>2300.2249999999999</v>
      </c>
      <c r="F41" s="36">
        <f>E41*$F$73</f>
        <v>1242.8115674999999</v>
      </c>
      <c r="G41" s="36">
        <v>0</v>
      </c>
      <c r="H41" s="36">
        <v>0</v>
      </c>
      <c r="I41" s="3">
        <f t="shared" si="7"/>
        <v>1242.8115674999999</v>
      </c>
      <c r="K41" s="23"/>
      <c r="L41" s="17"/>
      <c r="M41" s="17"/>
      <c r="N41" s="17"/>
      <c r="O41" s="17"/>
      <c r="P41" s="17"/>
    </row>
    <row r="42" spans="2:16" ht="13.35" customHeight="1">
      <c r="B42" s="64">
        <v>44682</v>
      </c>
      <c r="C42" s="35">
        <v>708.23099999999999</v>
      </c>
      <c r="D42" s="35">
        <v>2.6269999999999998</v>
      </c>
      <c r="E42" s="36">
        <f t="shared" si="6"/>
        <v>705.60400000000004</v>
      </c>
      <c r="F42" s="36">
        <f>E42*$F$73</f>
        <v>381.23784120000005</v>
      </c>
      <c r="G42" s="36">
        <v>0</v>
      </c>
      <c r="H42" s="36">
        <v>0</v>
      </c>
      <c r="I42" s="3">
        <f t="shared" si="7"/>
        <v>381.23784120000005</v>
      </c>
      <c r="K42" s="23"/>
      <c r="L42" s="17"/>
      <c r="M42" s="17"/>
      <c r="N42" s="17"/>
      <c r="O42" s="17"/>
      <c r="P42" s="17"/>
    </row>
    <row r="43" spans="2:16" ht="13.35" customHeight="1">
      <c r="B43" s="64">
        <v>44713</v>
      </c>
      <c r="C43" s="35">
        <v>1059.799</v>
      </c>
      <c r="D43" s="35">
        <v>2.117</v>
      </c>
      <c r="E43" s="3">
        <f t="shared" si="6"/>
        <v>1057.682</v>
      </c>
      <c r="F43" s="36">
        <f>E43*$F$73</f>
        <v>571.46558460000006</v>
      </c>
      <c r="G43" s="36">
        <v>0</v>
      </c>
      <c r="H43" s="36">
        <v>0</v>
      </c>
      <c r="I43" s="3">
        <f t="shared" si="7"/>
        <v>571.46558460000006</v>
      </c>
      <c r="K43" s="23"/>
      <c r="L43" s="17"/>
      <c r="M43" s="17"/>
      <c r="N43" s="17"/>
      <c r="O43" s="17"/>
      <c r="P43" s="17"/>
    </row>
    <row r="44" spans="2:16" ht="13.35" customHeight="1">
      <c r="B44" s="64">
        <v>44743</v>
      </c>
      <c r="C44" s="35">
        <v>3603.89</v>
      </c>
      <c r="D44" s="35">
        <v>6.6000000000000003E-2</v>
      </c>
      <c r="E44" s="36">
        <f t="shared" si="6"/>
        <v>3603.8240000000001</v>
      </c>
      <c r="F44" s="36">
        <f>E44*$F$73</f>
        <v>1947.1461072</v>
      </c>
      <c r="G44" s="36">
        <v>0</v>
      </c>
      <c r="H44" s="36">
        <v>0</v>
      </c>
      <c r="I44" s="3">
        <f t="shared" si="7"/>
        <v>1947.1461072</v>
      </c>
      <c r="K44" s="23"/>
      <c r="L44" s="17"/>
      <c r="M44" s="17"/>
      <c r="N44" s="17"/>
      <c r="O44" s="17"/>
      <c r="P44" s="17"/>
    </row>
    <row r="45" spans="2:16" ht="13.35" customHeight="1">
      <c r="B45" s="64">
        <v>44774</v>
      </c>
      <c r="C45" s="35">
        <v>3063.123</v>
      </c>
      <c r="D45" s="35">
        <v>0.58599999999999997</v>
      </c>
      <c r="E45" s="3">
        <f t="shared" si="6"/>
        <v>3062.5370000000003</v>
      </c>
      <c r="F45" s="36">
        <f>E45*$F$73</f>
        <v>1654.6887411000002</v>
      </c>
      <c r="G45" s="36">
        <v>0</v>
      </c>
      <c r="H45" s="36">
        <v>0</v>
      </c>
      <c r="I45" s="3">
        <f t="shared" si="7"/>
        <v>1654.6887411000002</v>
      </c>
      <c r="K45" s="23"/>
      <c r="L45" s="17"/>
      <c r="M45" s="17"/>
      <c r="N45" s="17"/>
      <c r="O45" s="17"/>
      <c r="P45" s="17"/>
    </row>
    <row r="46" spans="2:16" ht="13.35" customHeight="1">
      <c r="B46" s="64">
        <v>44805</v>
      </c>
      <c r="C46" s="35">
        <v>858.11599999999999</v>
      </c>
      <c r="D46" s="35">
        <v>2.278</v>
      </c>
      <c r="E46" s="36">
        <f t="shared" si="6"/>
        <v>855.83799999999997</v>
      </c>
      <c r="F46" s="36">
        <f>E46*$F$73</f>
        <v>462.40927139999997</v>
      </c>
      <c r="G46" s="36">
        <v>0</v>
      </c>
      <c r="H46" s="36">
        <v>0</v>
      </c>
      <c r="I46" s="3">
        <f t="shared" si="7"/>
        <v>462.40927139999997</v>
      </c>
      <c r="K46" s="23"/>
      <c r="L46" s="17"/>
      <c r="M46" s="17"/>
      <c r="N46" s="17"/>
      <c r="O46" s="17"/>
      <c r="P46" s="17"/>
    </row>
    <row r="47" spans="2:16" ht="13.35" customHeight="1">
      <c r="B47" s="64">
        <v>44835</v>
      </c>
      <c r="C47" s="39">
        <v>212.37889999999999</v>
      </c>
      <c r="D47" s="39">
        <v>6.3308999999999997</v>
      </c>
      <c r="E47" s="3">
        <f t="shared" si="6"/>
        <v>206.048</v>
      </c>
      <c r="F47" s="36">
        <f>E47*$F$73</f>
        <v>111.3277344</v>
      </c>
      <c r="G47" s="36">
        <v>0</v>
      </c>
      <c r="H47" s="36">
        <v>0</v>
      </c>
      <c r="I47" s="3">
        <f t="shared" si="7"/>
        <v>111.3277344</v>
      </c>
      <c r="K47" s="23"/>
      <c r="L47" s="17"/>
      <c r="M47" s="17"/>
      <c r="N47" s="17"/>
      <c r="O47" s="17"/>
      <c r="P47" s="17"/>
    </row>
    <row r="48" spans="2:16" ht="13.35" customHeight="1">
      <c r="B48" s="64">
        <v>44866</v>
      </c>
      <c r="C48" s="39">
        <v>0</v>
      </c>
      <c r="D48" s="39">
        <v>9.7523999999999997</v>
      </c>
      <c r="E48" s="36">
        <f t="shared" si="6"/>
        <v>-9.7523999999999997</v>
      </c>
      <c r="F48" s="36">
        <f>E48*$F$73</f>
        <v>-5.26922172</v>
      </c>
      <c r="G48" s="36">
        <v>0</v>
      </c>
      <c r="H48" s="36">
        <v>0</v>
      </c>
      <c r="I48" s="3">
        <f t="shared" si="7"/>
        <v>-5.26922172</v>
      </c>
      <c r="K48" s="23"/>
      <c r="L48" s="17"/>
      <c r="M48" s="17"/>
      <c r="N48" s="17"/>
      <c r="O48" s="17"/>
      <c r="P48" s="17"/>
    </row>
    <row r="49" spans="2:16" ht="13.35" customHeight="1">
      <c r="B49" s="64">
        <v>44896</v>
      </c>
      <c r="C49" s="39">
        <v>0</v>
      </c>
      <c r="D49" s="39">
        <v>11.0565</v>
      </c>
      <c r="E49" s="3">
        <f>C49-D49</f>
        <v>-11.0565</v>
      </c>
      <c r="F49" s="36">
        <f>E49*$F$73</f>
        <v>-5.9738269500000003</v>
      </c>
      <c r="G49" s="36">
        <v>0</v>
      </c>
      <c r="H49" s="36">
        <v>0</v>
      </c>
      <c r="I49" s="3">
        <f t="shared" si="7"/>
        <v>-5.9738269500000003</v>
      </c>
      <c r="K49" s="23"/>
      <c r="L49" s="17"/>
      <c r="M49" s="17"/>
      <c r="N49" s="17"/>
      <c r="O49" s="17"/>
      <c r="P49" s="17"/>
    </row>
    <row r="50" spans="2:16" ht="13.8">
      <c r="B50" s="4" t="s">
        <v>7</v>
      </c>
      <c r="C50" s="14">
        <f>SUM(C38:C49)</f>
        <v>13828.100899999999</v>
      </c>
      <c r="D50" s="14">
        <f>SUM(D38:D49)</f>
        <v>64.580799999999996</v>
      </c>
      <c r="E50" s="14">
        <f>SUM(E38:E49)</f>
        <v>13763.520100000002</v>
      </c>
      <c r="F50" s="14">
        <f>ROUNDDOWN(SUM(F38:F49),0)</f>
        <v>7436</v>
      </c>
      <c r="G50" s="14">
        <f>SUM(G38:G49)</f>
        <v>0</v>
      </c>
      <c r="H50" s="14">
        <f>SUM(H38:H49)</f>
        <v>0</v>
      </c>
      <c r="I50" s="14">
        <f>ROUNDDOWN(SUM(I38:I49),0)</f>
        <v>7436</v>
      </c>
      <c r="K50" s="23"/>
      <c r="L50" s="17"/>
      <c r="M50" s="17"/>
      <c r="N50" s="17"/>
      <c r="O50" s="17"/>
      <c r="P50" s="17"/>
    </row>
    <row r="51" spans="2:16" ht="13.8">
      <c r="B51" s="64">
        <v>44927</v>
      </c>
      <c r="C51" s="39">
        <v>0</v>
      </c>
      <c r="D51" s="39">
        <v>11.6046</v>
      </c>
      <c r="E51" s="36">
        <f>C51-D51</f>
        <v>-11.6046</v>
      </c>
      <c r="F51" s="36">
        <f>E51*$F$73</f>
        <v>-6.2699653799999995</v>
      </c>
      <c r="G51" s="36">
        <v>0</v>
      </c>
      <c r="H51" s="36">
        <v>0</v>
      </c>
      <c r="I51" s="3">
        <f>F51-G51-H51</f>
        <v>-6.2699653799999995</v>
      </c>
      <c r="K51" s="23"/>
      <c r="L51" s="17"/>
      <c r="M51" s="17"/>
      <c r="N51" s="17"/>
      <c r="O51" s="17"/>
      <c r="P51" s="17"/>
    </row>
    <row r="52" spans="2:16" ht="13.8">
      <c r="B52" s="64">
        <v>44958</v>
      </c>
      <c r="C52" s="39">
        <v>0</v>
      </c>
      <c r="D52" s="39">
        <v>11.377800000000001</v>
      </c>
      <c r="E52" s="36">
        <f t="shared" ref="E52:E56" si="8">C52-D52</f>
        <v>-11.377800000000001</v>
      </c>
      <c r="F52" s="36">
        <f>E52*$F$73</f>
        <v>-6.1474253400000007</v>
      </c>
      <c r="G52" s="36">
        <v>0</v>
      </c>
      <c r="H52" s="36">
        <v>0</v>
      </c>
      <c r="I52" s="3">
        <f t="shared" ref="I52:I60" si="9">F52-G52-H52</f>
        <v>-6.1474253400000007</v>
      </c>
      <c r="K52" s="23"/>
      <c r="L52" s="17"/>
      <c r="M52" s="17"/>
      <c r="N52" s="17"/>
      <c r="O52" s="17"/>
      <c r="P52" s="17"/>
    </row>
    <row r="53" spans="2:16" ht="13.8">
      <c r="B53" s="64">
        <v>44986</v>
      </c>
      <c r="C53" s="39">
        <v>0</v>
      </c>
      <c r="D53" s="39">
        <v>9.4594000000000005</v>
      </c>
      <c r="E53" s="36">
        <f t="shared" si="8"/>
        <v>-9.4594000000000005</v>
      </c>
      <c r="F53" s="36">
        <f>E53*$F$73</f>
        <v>-5.1109138200000004</v>
      </c>
      <c r="G53" s="36">
        <v>0</v>
      </c>
      <c r="H53" s="36">
        <v>0</v>
      </c>
      <c r="I53" s="3">
        <f t="shared" si="9"/>
        <v>-5.1109138200000004</v>
      </c>
      <c r="K53" s="23"/>
      <c r="L53" s="17"/>
      <c r="M53" s="17"/>
      <c r="N53" s="17"/>
      <c r="O53" s="17"/>
      <c r="P53" s="17"/>
    </row>
    <row r="54" spans="2:16" ht="13.8">
      <c r="B54" s="64">
        <v>45017</v>
      </c>
      <c r="C54" s="39">
        <v>0</v>
      </c>
      <c r="D54" s="39">
        <v>8.0702999999999996</v>
      </c>
      <c r="E54" s="36">
        <f t="shared" si="8"/>
        <v>-8.0702999999999996</v>
      </c>
      <c r="F54" s="36">
        <f>E54*$F$73</f>
        <v>-4.36038309</v>
      </c>
      <c r="G54" s="36">
        <v>0</v>
      </c>
      <c r="H54" s="36">
        <v>0</v>
      </c>
      <c r="I54" s="3">
        <f t="shared" si="9"/>
        <v>-4.36038309</v>
      </c>
      <c r="K54" s="23"/>
      <c r="L54" s="17"/>
      <c r="M54" s="17"/>
      <c r="N54" s="17"/>
      <c r="O54" s="17"/>
      <c r="P54" s="17"/>
    </row>
    <row r="55" spans="2:16" ht="13.8">
      <c r="B55" s="64">
        <v>45047</v>
      </c>
      <c r="C55" s="39">
        <v>0</v>
      </c>
      <c r="D55" s="39">
        <v>5.4809999999999999</v>
      </c>
      <c r="E55" s="36">
        <f t="shared" si="8"/>
        <v>-5.4809999999999999</v>
      </c>
      <c r="F55" s="36">
        <f>E55*$F$73</f>
        <v>-2.9613842999999997</v>
      </c>
      <c r="G55" s="36">
        <v>0</v>
      </c>
      <c r="H55" s="36">
        <v>0</v>
      </c>
      <c r="I55" s="3">
        <f t="shared" si="9"/>
        <v>-2.9613842999999997</v>
      </c>
      <c r="K55" s="23"/>
      <c r="L55" s="17"/>
      <c r="M55" s="17"/>
      <c r="N55" s="17"/>
      <c r="O55" s="17"/>
      <c r="P55" s="17"/>
    </row>
    <row r="56" spans="2:16" ht="13.8">
      <c r="B56" s="64">
        <v>45078</v>
      </c>
      <c r="C56" s="39">
        <v>590.1241</v>
      </c>
      <c r="D56" s="39">
        <v>3.0617999999999999</v>
      </c>
      <c r="E56" s="36">
        <f t="shared" si="8"/>
        <v>587.06230000000005</v>
      </c>
      <c r="F56" s="36">
        <f>E56*$F$73</f>
        <v>317.18976069000001</v>
      </c>
      <c r="G56" s="36">
        <v>0</v>
      </c>
      <c r="H56" s="36">
        <v>0</v>
      </c>
      <c r="I56" s="3">
        <f t="shared" si="9"/>
        <v>317.18976069000001</v>
      </c>
      <c r="K56" s="23"/>
      <c r="L56" s="17"/>
      <c r="M56" s="17"/>
      <c r="N56" s="17"/>
      <c r="O56" s="17"/>
      <c r="P56" s="17"/>
    </row>
    <row r="57" spans="2:16" ht="13.8">
      <c r="B57" s="64">
        <v>45108</v>
      </c>
      <c r="C57" s="23">
        <v>3609.4274999999998</v>
      </c>
      <c r="D57" s="2">
        <v>5.67E-2</v>
      </c>
      <c r="E57" s="36">
        <f>C57-D57</f>
        <v>3609.3707999999997</v>
      </c>
      <c r="F57" s="36">
        <f>E57*$F$73</f>
        <v>1950.1430432399998</v>
      </c>
      <c r="G57" s="36">
        <v>0</v>
      </c>
      <c r="H57" s="36">
        <v>0</v>
      </c>
      <c r="I57" s="3">
        <f t="shared" si="9"/>
        <v>1950.1430432399998</v>
      </c>
      <c r="K57" s="23"/>
      <c r="L57" s="17"/>
      <c r="M57" s="17"/>
      <c r="N57" s="17"/>
      <c r="O57" s="17"/>
      <c r="P57" s="17"/>
    </row>
    <row r="58" spans="2:16" ht="13.8">
      <c r="B58" s="64">
        <v>45139</v>
      </c>
      <c r="C58" s="31">
        <v>1428.3390999999999</v>
      </c>
      <c r="D58" s="39">
        <v>2.0600999999999998</v>
      </c>
      <c r="E58" s="36">
        <f t="shared" ref="E58:E62" si="10">C58-D58</f>
        <v>1426.279</v>
      </c>
      <c r="F58" s="36">
        <f>E58*$F$73</f>
        <v>770.61854370000003</v>
      </c>
      <c r="G58" s="36">
        <v>0</v>
      </c>
      <c r="H58" s="36">
        <v>0</v>
      </c>
      <c r="I58" s="3">
        <f t="shared" si="9"/>
        <v>770.61854370000003</v>
      </c>
      <c r="K58" s="23"/>
      <c r="L58" s="17"/>
      <c r="M58" s="17"/>
      <c r="N58" s="17"/>
      <c r="O58" s="17"/>
      <c r="P58" s="17"/>
    </row>
    <row r="59" spans="2:16" ht="13.8">
      <c r="B59" s="64">
        <v>45170</v>
      </c>
      <c r="C59" s="39">
        <v>510.63069999999999</v>
      </c>
      <c r="D59" s="39">
        <v>2.8161</v>
      </c>
      <c r="E59" s="36">
        <f t="shared" si="10"/>
        <v>507.81459999999998</v>
      </c>
      <c r="F59" s="36">
        <f>E59*$F$73</f>
        <v>274.37222837999997</v>
      </c>
      <c r="G59" s="36">
        <v>0</v>
      </c>
      <c r="H59" s="36">
        <v>0</v>
      </c>
      <c r="I59" s="3">
        <f t="shared" si="9"/>
        <v>274.37222837999997</v>
      </c>
      <c r="K59" s="23"/>
      <c r="L59" s="17"/>
      <c r="M59" s="17"/>
      <c r="N59" s="17"/>
      <c r="O59" s="17"/>
      <c r="P59" s="17"/>
    </row>
    <row r="60" spans="2:16" ht="13.8">
      <c r="B60" s="64">
        <v>45200</v>
      </c>
      <c r="C60" s="39">
        <v>0</v>
      </c>
      <c r="D60" s="39">
        <v>6.8985000000000003</v>
      </c>
      <c r="E60" s="36">
        <f t="shared" si="10"/>
        <v>-6.8985000000000003</v>
      </c>
      <c r="F60" s="36">
        <f>E60*$F$73</f>
        <v>-3.7272595500000003</v>
      </c>
      <c r="G60" s="36">
        <v>0</v>
      </c>
      <c r="H60" s="36">
        <v>0</v>
      </c>
      <c r="I60" s="3">
        <f t="shared" si="9"/>
        <v>-3.7272595500000003</v>
      </c>
      <c r="K60" s="23"/>
      <c r="L60" s="17"/>
      <c r="M60" s="17"/>
      <c r="N60" s="17"/>
      <c r="O60" s="17"/>
      <c r="P60" s="17"/>
    </row>
    <row r="61" spans="2:16" ht="13.35" customHeight="1">
      <c r="B61" s="64">
        <v>45231</v>
      </c>
      <c r="C61" s="39">
        <v>0</v>
      </c>
      <c r="D61" s="39">
        <v>9.3270999999999997</v>
      </c>
      <c r="E61" s="36">
        <f t="shared" si="10"/>
        <v>-9.3270999999999997</v>
      </c>
      <c r="F61" s="36">
        <f>E61*$F$73</f>
        <v>-5.0394321299999998</v>
      </c>
      <c r="G61" s="36">
        <v>0</v>
      </c>
      <c r="H61" s="36">
        <v>0</v>
      </c>
      <c r="I61" s="3">
        <f>F61-G61-H61</f>
        <v>-5.0394321299999998</v>
      </c>
      <c r="K61" s="23"/>
      <c r="L61" s="17"/>
      <c r="M61" s="17"/>
      <c r="N61" s="17"/>
      <c r="O61" s="17"/>
      <c r="P61" s="17"/>
    </row>
    <row r="62" spans="2:16" ht="13.35" customHeight="1">
      <c r="B62" s="64">
        <v>45261</v>
      </c>
      <c r="C62" s="39">
        <v>0</v>
      </c>
      <c r="D62" s="39">
        <v>12.889799999999999</v>
      </c>
      <c r="E62" s="36">
        <f t="shared" si="10"/>
        <v>-12.889799999999999</v>
      </c>
      <c r="F62" s="36">
        <f>E62*$F$73</f>
        <v>-6.9643589399999994</v>
      </c>
      <c r="G62" s="36">
        <v>0</v>
      </c>
      <c r="H62" s="36">
        <v>0</v>
      </c>
      <c r="I62" s="3">
        <f>F62-G62-H62</f>
        <v>-6.9643589399999994</v>
      </c>
      <c r="K62" s="23"/>
      <c r="L62" s="17"/>
      <c r="M62" s="17"/>
      <c r="N62" s="17"/>
      <c r="O62" s="17"/>
      <c r="P62" s="17"/>
    </row>
    <row r="63" spans="2:16" ht="13.8">
      <c r="B63" s="4" t="s">
        <v>8</v>
      </c>
      <c r="C63" s="14">
        <f>SUM(C51:C62)</f>
        <v>6138.5213999999996</v>
      </c>
      <c r="D63" s="14">
        <f>SUM(D51:D62)</f>
        <v>83.103199999999987</v>
      </c>
      <c r="E63" s="14">
        <f>SUM(E51:E62)</f>
        <v>6055.4181999999983</v>
      </c>
      <c r="F63" s="14">
        <f>ROUNDDOWN(SUM(F51:F62),0)</f>
        <v>3271</v>
      </c>
      <c r="G63" s="14">
        <f>SUM(G51:G62)</f>
        <v>0</v>
      </c>
      <c r="H63" s="14">
        <f>SUM(H51:H62)</f>
        <v>0</v>
      </c>
      <c r="I63" s="14">
        <f>ROUNDDOWN(SUM(I51:I62),0)</f>
        <v>3271</v>
      </c>
      <c r="K63" s="23"/>
      <c r="L63" s="17"/>
      <c r="M63" s="17"/>
      <c r="N63" s="17"/>
      <c r="O63" s="17"/>
      <c r="P63" s="17"/>
    </row>
    <row r="64" spans="2:16" ht="13.8">
      <c r="B64" s="5" t="s">
        <v>9</v>
      </c>
      <c r="C64" s="15">
        <f>SUM(C11,C24,C37,C50,C63)</f>
        <v>46734.364300000001</v>
      </c>
      <c r="D64" s="15">
        <f t="shared" ref="D64:I64" si="11">SUM(D11,D24,D37,D50,D63)</f>
        <v>340.82280000000003</v>
      </c>
      <c r="E64" s="15">
        <f t="shared" si="11"/>
        <v>46393.541500000007</v>
      </c>
      <c r="F64" s="15">
        <f t="shared" si="11"/>
        <v>25064</v>
      </c>
      <c r="G64" s="15">
        <f t="shared" si="11"/>
        <v>0</v>
      </c>
      <c r="H64" s="15">
        <f t="shared" si="11"/>
        <v>0</v>
      </c>
      <c r="I64" s="15">
        <f t="shared" si="11"/>
        <v>25064</v>
      </c>
      <c r="K64" s="23"/>
      <c r="L64" s="17"/>
      <c r="M64" s="17"/>
      <c r="N64" s="17"/>
      <c r="O64" s="17"/>
      <c r="P64" s="17"/>
    </row>
    <row r="65" spans="1:17" ht="20.399999999999999" customHeight="1">
      <c r="A65" s="1"/>
      <c r="B65" s="2"/>
      <c r="D65" s="19"/>
      <c r="E65" s="20"/>
      <c r="I65" s="6"/>
      <c r="J65" s="7"/>
      <c r="K65" s="23"/>
    </row>
    <row r="66" spans="1:17" ht="20.399999999999999" customHeight="1">
      <c r="A66" s="1"/>
      <c r="B66" s="71" t="s">
        <v>38</v>
      </c>
      <c r="C66" s="63" t="s">
        <v>39</v>
      </c>
      <c r="D66" s="63"/>
      <c r="E66" s="63"/>
      <c r="F66" s="63"/>
      <c r="G66" s="63"/>
      <c r="I66" s="6"/>
      <c r="J66" s="7"/>
      <c r="K66" s="23"/>
    </row>
    <row r="67" spans="1:17" ht="20.399999999999999" customHeight="1">
      <c r="A67" s="1"/>
      <c r="B67" s="2"/>
      <c r="D67" s="20"/>
      <c r="E67" s="20"/>
      <c r="I67" s="6"/>
      <c r="J67" s="7"/>
      <c r="K67" s="23"/>
    </row>
    <row r="68" spans="1:17" ht="18.75" customHeight="1">
      <c r="A68" s="1"/>
      <c r="B68" s="80" t="s">
        <v>41</v>
      </c>
      <c r="C68" s="80"/>
      <c r="E68" s="20"/>
      <c r="K68" s="23"/>
      <c r="Q68" s="1"/>
    </row>
    <row r="69" spans="1:17" ht="26.4">
      <c r="A69" s="1"/>
      <c r="B69" s="32" t="s">
        <v>0</v>
      </c>
      <c r="C69" s="33" t="s">
        <v>10</v>
      </c>
      <c r="I69" s="23"/>
      <c r="O69" s="1"/>
    </row>
    <row r="70" spans="1:17">
      <c r="A70" s="1"/>
      <c r="B70" s="66">
        <v>43623</v>
      </c>
      <c r="C70" s="34">
        <f>'Receipts for Chross-check'!B4-'Receipts for Chross-check'!B22</f>
        <v>1795.9387301600004</v>
      </c>
    </row>
    <row r="71" spans="1:17">
      <c r="A71" s="1"/>
      <c r="B71" s="66">
        <v>43647</v>
      </c>
      <c r="C71" s="34">
        <f>'Receipts for Chross-check'!B5-'Receipts for Chross-check'!B23</f>
        <v>3369.6622299999999</v>
      </c>
      <c r="E71" s="21" t="s">
        <v>47</v>
      </c>
      <c r="F71" s="22">
        <f>E64*365/$G$103</f>
        <v>10145.981214799282</v>
      </c>
    </row>
    <row r="72" spans="1:17" ht="15.6">
      <c r="A72" s="1"/>
      <c r="B72" s="66">
        <v>43678</v>
      </c>
      <c r="C72" s="34">
        <f>'Receipts for Chross-check'!B6-'Receipts for Chross-check'!B24</f>
        <v>3404.6363626000002</v>
      </c>
      <c r="E72" s="9" t="s">
        <v>48</v>
      </c>
      <c r="F72" s="22">
        <f>F64*365/$G$103</f>
        <v>5481.3421210305569</v>
      </c>
    </row>
    <row r="73" spans="1:17" ht="15.6">
      <c r="A73" s="1"/>
      <c r="B73" s="66">
        <v>43709</v>
      </c>
      <c r="C73" s="34">
        <f>'Receipts for Chross-check'!B7-'Receipts for Chross-check'!B25</f>
        <v>1055.555511</v>
      </c>
      <c r="E73" s="9" t="s">
        <v>42</v>
      </c>
      <c r="F73" s="10">
        <v>0.5403</v>
      </c>
    </row>
    <row r="74" spans="1:17">
      <c r="A74" s="1"/>
      <c r="B74" s="66">
        <v>43739</v>
      </c>
      <c r="C74" s="34">
        <f>'Receipts for Chross-check'!B8-'Receipts for Chross-check'!B26</f>
        <v>283.53774109999995</v>
      </c>
      <c r="E74" s="8"/>
      <c r="F74" s="6"/>
    </row>
    <row r="75" spans="1:17" ht="13.8" thickBot="1">
      <c r="A75" s="1"/>
      <c r="B75" s="66">
        <v>43770</v>
      </c>
      <c r="C75" s="34">
        <f>'Receipts for Chross-check'!B9-'Receipts for Chross-check'!B27</f>
        <v>-7.8340084999999995</v>
      </c>
    </row>
    <row r="76" spans="1:17" ht="14.4" customHeight="1">
      <c r="A76" s="1"/>
      <c r="B76" s="66">
        <v>43800</v>
      </c>
      <c r="C76" s="34">
        <f>'Receipts for Chross-check'!B10-'Receipts for Chross-check'!B28</f>
        <v>-14.9493332</v>
      </c>
      <c r="E76" s="83" t="s">
        <v>11</v>
      </c>
      <c r="F76" s="84"/>
      <c r="G76" s="41" t="s">
        <v>12</v>
      </c>
      <c r="H76" s="41" t="s">
        <v>44</v>
      </c>
      <c r="I76" s="41" t="s">
        <v>45</v>
      </c>
      <c r="J76" s="42" t="s">
        <v>13</v>
      </c>
    </row>
    <row r="77" spans="1:17">
      <c r="A77" s="1"/>
      <c r="B77" s="4" t="s">
        <v>4</v>
      </c>
      <c r="C77" s="46">
        <f>SUM(C70:C76)</f>
        <v>9886.5472331599995</v>
      </c>
      <c r="E77" s="12">
        <v>43623</v>
      </c>
      <c r="F77" s="13">
        <v>43830</v>
      </c>
      <c r="G77" s="11">
        <f t="shared" ref="G77:G80" si="12">F77-E77+1</f>
        <v>208</v>
      </c>
      <c r="H77" s="26">
        <f>$F$11</f>
        <v>5341</v>
      </c>
      <c r="I77" s="28">
        <f>ROUND((($G$104*$F$73)*(G77/365)),0)</f>
        <v>7152</v>
      </c>
      <c r="J77" s="43">
        <f>(H77-I77)/I77</f>
        <v>-0.2532158836689038</v>
      </c>
    </row>
    <row r="78" spans="1:17">
      <c r="A78" s="1"/>
      <c r="B78" s="66">
        <v>43831</v>
      </c>
      <c r="C78" s="34">
        <f>'Receipts for Chross-check'!E4-'Receipts for Chross-check'!E22</f>
        <v>-16.008021800000002</v>
      </c>
      <c r="E78" s="12">
        <v>43831</v>
      </c>
      <c r="F78" s="13">
        <v>44196</v>
      </c>
      <c r="G78" s="11">
        <f t="shared" si="12"/>
        <v>366</v>
      </c>
      <c r="H78" s="26">
        <f>$F$24</f>
        <v>5835</v>
      </c>
      <c r="I78" s="28">
        <f>ROUND((($G$104*$F$73)*(G78/365)),0)</f>
        <v>12586</v>
      </c>
      <c r="J78" s="43">
        <f t="shared" ref="J78:J80" si="13">(H78-I78)/I78</f>
        <v>-0.53638963928174166</v>
      </c>
    </row>
    <row r="79" spans="1:17">
      <c r="A79" s="1"/>
      <c r="B79" s="66">
        <v>43862</v>
      </c>
      <c r="C79" s="34">
        <f>'Receipts for Chross-check'!E5-'Receipts for Chross-check'!E23</f>
        <v>-14.8370198</v>
      </c>
      <c r="E79" s="12">
        <v>44197</v>
      </c>
      <c r="F79" s="13">
        <v>44561</v>
      </c>
      <c r="G79" s="11">
        <f t="shared" si="12"/>
        <v>365</v>
      </c>
      <c r="H79" s="26">
        <f>$F$37</f>
        <v>3181</v>
      </c>
      <c r="I79" s="28">
        <f>ROUND((($G$104*$F$73)*(G79/365)),0)</f>
        <v>12551</v>
      </c>
      <c r="J79" s="43">
        <f t="shared" si="13"/>
        <v>-0.74655405943749498</v>
      </c>
    </row>
    <row r="80" spans="1:17">
      <c r="A80" s="1"/>
      <c r="B80" s="66">
        <v>43891</v>
      </c>
      <c r="C80" s="34">
        <f>'Receipts for Chross-check'!E6-'Receipts for Chross-check'!E24</f>
        <v>-12.9839742</v>
      </c>
      <c r="E80" s="12">
        <v>44562</v>
      </c>
      <c r="F80" s="13">
        <v>44926</v>
      </c>
      <c r="G80" s="11">
        <f t="shared" si="12"/>
        <v>365</v>
      </c>
      <c r="H80" s="26">
        <f>$F$50</f>
        <v>7436</v>
      </c>
      <c r="I80" s="28">
        <f>ROUND((($G$104*$F$73)*(G80/365)),0)</f>
        <v>12551</v>
      </c>
      <c r="J80" s="43">
        <f t="shared" si="13"/>
        <v>-0.40753724802804558</v>
      </c>
    </row>
    <row r="81" spans="1:10">
      <c r="A81" s="1"/>
      <c r="B81" s="66">
        <v>43922</v>
      </c>
      <c r="C81" s="34">
        <f>'Receipts for Chross-check'!E7-'Receipts for Chross-check'!E25</f>
        <v>458.45708489999998</v>
      </c>
      <c r="E81" s="12">
        <v>44927</v>
      </c>
      <c r="F81" s="13">
        <v>45291</v>
      </c>
      <c r="G81" s="11">
        <f>F81-E81+1</f>
        <v>365</v>
      </c>
      <c r="H81" s="26">
        <f>$F$63</f>
        <v>3271</v>
      </c>
      <c r="I81" s="28">
        <f>ROUND((($G$104*$F$73)*(G81/365)),0)</f>
        <v>12551</v>
      </c>
      <c r="J81" s="43">
        <f>(H81-I81)/I81</f>
        <v>-0.73938331607043262</v>
      </c>
    </row>
    <row r="82" spans="1:10" ht="13.8" thickBot="1">
      <c r="A82" s="1"/>
      <c r="B82" s="66">
        <v>43952</v>
      </c>
      <c r="C82" s="34">
        <f>'Receipts for Chross-check'!E8-'Receipts for Chross-check'!E26</f>
        <v>432.37569950000005</v>
      </c>
      <c r="E82" s="81" t="s">
        <v>14</v>
      </c>
      <c r="F82" s="82"/>
      <c r="G82" s="40">
        <f>SUM(G77:G81)</f>
        <v>1669</v>
      </c>
      <c r="H82" s="29">
        <f>ROUNDDOWN(SUM(H77:H81),0)</f>
        <v>25064</v>
      </c>
      <c r="I82" s="29">
        <f>SUM(I77:I81)</f>
        <v>57391</v>
      </c>
      <c r="J82" s="30">
        <f>(H82-I82)/I82</f>
        <v>-0.56327647192068442</v>
      </c>
    </row>
    <row r="83" spans="1:10">
      <c r="A83" s="1"/>
      <c r="B83" s="66">
        <v>43983</v>
      </c>
      <c r="C83" s="34">
        <f>'Receipts for Chross-check'!E9-'Receipts for Chross-check'!E27</f>
        <v>2509.5037178999996</v>
      </c>
      <c r="E83" s="1"/>
      <c r="F83" s="1"/>
      <c r="G83" s="67"/>
      <c r="H83" s="67"/>
      <c r="I83" s="67"/>
      <c r="J83" s="68"/>
    </row>
    <row r="84" spans="1:10" ht="13.8" thickBot="1">
      <c r="A84" s="1"/>
      <c r="B84" s="66">
        <v>44013</v>
      </c>
      <c r="C84" s="34">
        <f>'Receipts for Chross-check'!E10-'Receipts for Chross-check'!E28</f>
        <v>3615.8063791</v>
      </c>
      <c r="E84" s="1"/>
      <c r="F84" s="1"/>
      <c r="G84" s="67"/>
      <c r="H84" s="67"/>
      <c r="I84" s="67"/>
      <c r="J84" s="68"/>
    </row>
    <row r="85" spans="1:10">
      <c r="A85" s="1"/>
      <c r="B85" s="66">
        <v>44044</v>
      </c>
      <c r="C85" s="34">
        <f>'Receipts for Chross-check'!E11-'Receipts for Chross-check'!E29</f>
        <v>3205.1560105999997</v>
      </c>
      <c r="E85" s="83" t="s">
        <v>11</v>
      </c>
      <c r="F85" s="84"/>
      <c r="G85" s="41" t="s">
        <v>12</v>
      </c>
      <c r="H85" s="41" t="s">
        <v>49</v>
      </c>
      <c r="I85" s="41" t="s">
        <v>50</v>
      </c>
      <c r="J85" s="42" t="s">
        <v>13</v>
      </c>
    </row>
    <row r="86" spans="1:10">
      <c r="A86" s="1"/>
      <c r="B86" s="66">
        <v>44075</v>
      </c>
      <c r="C86" s="34">
        <f>'Receipts for Chross-check'!E12-'Receipts for Chross-check'!E30</f>
        <v>650.07529629999999</v>
      </c>
      <c r="E86" s="12">
        <v>43623</v>
      </c>
      <c r="F86" s="13">
        <v>43830</v>
      </c>
      <c r="G86" s="11">
        <f t="shared" ref="G86:G89" si="14">F86-E86+1</f>
        <v>208</v>
      </c>
      <c r="H86" s="70">
        <f>E11</f>
        <v>9886.5562000000009</v>
      </c>
      <c r="I86" s="70">
        <f>$G$104/365*G86</f>
        <v>13237.917808219179</v>
      </c>
      <c r="J86" s="43">
        <f>(H86-I86)/I86</f>
        <v>-0.25316380240239744</v>
      </c>
    </row>
    <row r="87" spans="1:10">
      <c r="A87" s="1"/>
      <c r="B87" s="66">
        <v>44105</v>
      </c>
      <c r="C87" s="34">
        <f>'Receipts for Chross-check'!E13-'Receipts for Chross-check'!E31</f>
        <v>-4.5359919</v>
      </c>
      <c r="E87" s="12">
        <v>43831</v>
      </c>
      <c r="F87" s="13">
        <v>44196</v>
      </c>
      <c r="G87" s="11">
        <f t="shared" si="14"/>
        <v>366</v>
      </c>
      <c r="H87" s="70">
        <f>E24</f>
        <v>10800.072000000002</v>
      </c>
      <c r="I87" s="70">
        <f>$G$104/365*G87</f>
        <v>23293.64383561644</v>
      </c>
      <c r="J87" s="43">
        <f t="shared" ref="J87:J90" si="15">(H87-I87)/I87</f>
        <v>-0.53635111465530017</v>
      </c>
    </row>
    <row r="88" spans="1:10">
      <c r="A88" s="1"/>
      <c r="B88" s="66">
        <v>44136</v>
      </c>
      <c r="C88" s="34">
        <f>'Receipts for Chross-check'!E14-'Receipts for Chross-check'!E32</f>
        <v>-11.2740071</v>
      </c>
      <c r="E88" s="12">
        <v>44197</v>
      </c>
      <c r="F88" s="13">
        <v>44561</v>
      </c>
      <c r="G88" s="11">
        <f t="shared" si="14"/>
        <v>365</v>
      </c>
      <c r="H88" s="70">
        <f>E37</f>
        <v>5887.9749999999995</v>
      </c>
      <c r="I88" s="70">
        <f>$G$104/365*G88</f>
        <v>23230</v>
      </c>
      <c r="J88" s="43">
        <f t="shared" si="15"/>
        <v>-0.74653572965992254</v>
      </c>
    </row>
    <row r="89" spans="1:10">
      <c r="A89" s="1"/>
      <c r="B89" s="66">
        <v>44166</v>
      </c>
      <c r="C89" s="34">
        <f>'Receipts for Chross-check'!E15-'Receipts for Chross-check'!E33</f>
        <v>-11.7560495</v>
      </c>
      <c r="E89" s="12">
        <v>44562</v>
      </c>
      <c r="F89" s="13">
        <v>44926</v>
      </c>
      <c r="G89" s="11">
        <f t="shared" si="14"/>
        <v>365</v>
      </c>
      <c r="H89" s="70">
        <f>E50</f>
        <v>13763.520100000002</v>
      </c>
      <c r="I89" s="70">
        <f>$G$104/365*G89</f>
        <v>23230</v>
      </c>
      <c r="J89" s="43">
        <f t="shared" si="15"/>
        <v>-0.40751097287989663</v>
      </c>
    </row>
    <row r="90" spans="1:10">
      <c r="A90" s="1"/>
      <c r="B90" s="4" t="s">
        <v>5</v>
      </c>
      <c r="C90" s="46">
        <f>SUM(C78:C89)</f>
        <v>10799.979123999998</v>
      </c>
      <c r="E90" s="12">
        <v>44927</v>
      </c>
      <c r="F90" s="13">
        <v>45291</v>
      </c>
      <c r="G90" s="11">
        <f>F90-E90+1</f>
        <v>365</v>
      </c>
      <c r="H90" s="70">
        <f>E63</f>
        <v>6055.4181999999983</v>
      </c>
      <c r="I90" s="70">
        <f>$G$104/365*G90</f>
        <v>23230</v>
      </c>
      <c r="J90" s="43">
        <f t="shared" si="15"/>
        <v>-0.73932767111493758</v>
      </c>
    </row>
    <row r="91" spans="1:10" ht="14.4" thickBot="1">
      <c r="A91" s="1"/>
      <c r="B91" s="66">
        <v>44197</v>
      </c>
      <c r="C91" s="34">
        <f>'Receipts for Chross-check'!H4-'Receipts for Chross-check'!H22</f>
        <v>-11.4910047</v>
      </c>
      <c r="E91" s="85" t="s">
        <v>14</v>
      </c>
      <c r="F91" s="86"/>
      <c r="G91" s="40">
        <f>SUM(G86:G90)</f>
        <v>1669</v>
      </c>
      <c r="H91" s="69">
        <f>SUM(H86:H90)</f>
        <v>46393.541500000007</v>
      </c>
      <c r="I91" s="69">
        <f>SUM(I86:I90)</f>
        <v>106221.56164383562</v>
      </c>
      <c r="J91" s="72">
        <f>(H91-I91)/I91</f>
        <v>-0.56323800194579066</v>
      </c>
    </row>
    <row r="92" spans="1:10">
      <c r="A92" s="1"/>
      <c r="B92" s="66">
        <v>44228</v>
      </c>
      <c r="C92" s="34">
        <f>'Receipts for Chross-check'!H5-'Receipts for Chross-check'!H23</f>
        <v>-10.5080007</v>
      </c>
      <c r="E92" s="1"/>
      <c r="F92" s="1"/>
      <c r="G92" s="67"/>
      <c r="H92" s="67"/>
      <c r="I92" s="67"/>
      <c r="J92" s="68"/>
    </row>
    <row r="93" spans="1:10">
      <c r="A93" s="1"/>
      <c r="B93" s="66">
        <v>44256</v>
      </c>
      <c r="C93" s="34">
        <f>'Receipts for Chross-check'!H6-'Receipts for Chross-check'!H24</f>
        <v>-11.926005399999999</v>
      </c>
      <c r="E93" s="1"/>
      <c r="F93" s="1"/>
      <c r="G93" s="67"/>
      <c r="H93" s="67"/>
      <c r="I93" s="67"/>
      <c r="J93" s="68"/>
    </row>
    <row r="94" spans="1:10">
      <c r="A94" s="1"/>
      <c r="B94" s="66">
        <v>44287</v>
      </c>
      <c r="C94" s="34">
        <f>'Receipts for Chross-check'!H7-'Receipts for Chross-check'!H25</f>
        <v>227.14019999999999</v>
      </c>
      <c r="E94" s="1"/>
      <c r="F94" s="1"/>
      <c r="G94" s="67"/>
      <c r="H94" s="67"/>
      <c r="I94" s="67"/>
      <c r="J94" s="68"/>
    </row>
    <row r="95" spans="1:10">
      <c r="A95" s="1"/>
      <c r="B95" s="66">
        <v>44317</v>
      </c>
      <c r="C95" s="34">
        <f>'Receipts for Chross-check'!H8-'Receipts for Chross-check'!H26</f>
        <v>268.81469999999996</v>
      </c>
      <c r="E95" s="1"/>
      <c r="F95" s="1"/>
      <c r="G95" s="67"/>
      <c r="H95" s="67"/>
      <c r="I95" s="67"/>
      <c r="J95" s="68"/>
    </row>
    <row r="96" spans="1:10" ht="15" customHeight="1">
      <c r="A96" s="1"/>
      <c r="B96" s="66">
        <v>44348</v>
      </c>
      <c r="C96" s="34">
        <f>'Receipts for Chross-check'!H9-'Receipts for Chross-check'!H27</f>
        <v>1536.1542000000002</v>
      </c>
      <c r="E96" s="1"/>
      <c r="F96" s="1"/>
      <c r="G96" s="67"/>
      <c r="H96" s="67"/>
      <c r="I96" s="67"/>
      <c r="J96" s="68"/>
    </row>
    <row r="97" spans="1:13">
      <c r="A97" s="1"/>
      <c r="B97" s="66">
        <v>44378</v>
      </c>
      <c r="C97" s="34">
        <f>'Receipts for Chross-check'!H10-'Receipts for Chross-check'!H28</f>
        <v>3593.3719499999997</v>
      </c>
      <c r="E97" s="1"/>
      <c r="F97" s="1"/>
      <c r="G97" s="67"/>
      <c r="H97" s="67"/>
      <c r="I97" s="67"/>
      <c r="J97" s="68"/>
    </row>
    <row r="98" spans="1:13">
      <c r="A98" s="1"/>
      <c r="B98" s="66">
        <v>44409</v>
      </c>
      <c r="C98" s="34">
        <f>'Receipts for Chross-check'!H11-'Receipts for Chross-check'!H29</f>
        <v>327.55590000000007</v>
      </c>
      <c r="E98" s="1"/>
      <c r="F98" s="1"/>
      <c r="G98" s="67"/>
      <c r="H98" s="67"/>
      <c r="I98" s="67"/>
      <c r="J98" s="68"/>
    </row>
    <row r="99" spans="1:13">
      <c r="A99" s="1"/>
      <c r="B99" s="66">
        <v>44440</v>
      </c>
      <c r="C99" s="34">
        <f>'Receipts for Chross-check'!H12-'Receipts for Chross-check'!H30</f>
        <v>-4.3942500000000004</v>
      </c>
      <c r="E99" s="1"/>
      <c r="F99" s="1"/>
      <c r="G99" s="67"/>
      <c r="H99" s="67"/>
      <c r="I99" s="67"/>
      <c r="J99" s="68"/>
    </row>
    <row r="100" spans="1:13" ht="13.8" thickBot="1">
      <c r="A100" s="1"/>
      <c r="B100" s="66">
        <v>44470</v>
      </c>
      <c r="C100" s="34">
        <f>'Receipts for Chross-check'!H13-'Receipts for Chross-check'!H31</f>
        <v>-6.51105</v>
      </c>
    </row>
    <row r="101" spans="1:13">
      <c r="A101" s="1"/>
      <c r="B101" s="66">
        <v>44501</v>
      </c>
      <c r="C101" s="34">
        <f>'Receipts for Chross-check'!H14-'Receipts for Chross-check'!H32</f>
        <v>-9.0436499999999995</v>
      </c>
      <c r="E101" s="78" t="s">
        <v>15</v>
      </c>
      <c r="F101" s="79"/>
      <c r="G101" s="44">
        <f>E77</f>
        <v>43623</v>
      </c>
    </row>
    <row r="102" spans="1:13">
      <c r="A102" s="1"/>
      <c r="B102" s="66">
        <v>44531</v>
      </c>
      <c r="C102" s="34">
        <f>'Receipts for Chross-check'!H15-'Receipts for Chross-check'!H33</f>
        <v>-11.188799999999999</v>
      </c>
      <c r="E102" s="75" t="s">
        <v>16</v>
      </c>
      <c r="F102" s="76"/>
      <c r="G102" s="45">
        <f>F90</f>
        <v>45291</v>
      </c>
      <c r="I102" s="27"/>
    </row>
    <row r="103" spans="1:13">
      <c r="A103" s="1"/>
      <c r="B103" s="4" t="s">
        <v>6</v>
      </c>
      <c r="C103" s="46">
        <f>SUM(C91:C102)</f>
        <v>5887.9741892000002</v>
      </c>
      <c r="E103" s="75" t="s">
        <v>17</v>
      </c>
      <c r="F103" s="76"/>
      <c r="G103" s="24">
        <f>G102-G101+1</f>
        <v>1669</v>
      </c>
    </row>
    <row r="104" spans="1:13">
      <c r="A104" s="1"/>
      <c r="B104" s="66">
        <v>44562</v>
      </c>
      <c r="C104" s="61">
        <f>'Receipts for Chross-check'!K4-'Receipts for Chross-check'!K22</f>
        <v>-12.965399999999999</v>
      </c>
      <c r="E104" s="75" t="s">
        <v>18</v>
      </c>
      <c r="F104" s="76"/>
      <c r="G104" s="24">
        <v>23230</v>
      </c>
    </row>
    <row r="105" spans="1:13" ht="15.6">
      <c r="A105" s="1"/>
      <c r="B105" s="66">
        <v>44593</v>
      </c>
      <c r="C105" s="61">
        <f>'Receipts for Chross-check'!K5-'Receipts for Chross-check'!K23</f>
        <v>39.3309</v>
      </c>
      <c r="E105" s="75" t="s">
        <v>43</v>
      </c>
      <c r="F105" s="76"/>
      <c r="G105" s="24">
        <f>G104*F73</f>
        <v>12551.169</v>
      </c>
    </row>
    <row r="106" spans="1:13" ht="16.2" thickBot="1">
      <c r="A106" s="1"/>
      <c r="B106" s="66">
        <v>44651</v>
      </c>
      <c r="C106" s="61">
        <f>'Receipts for Chross-check'!K6-'Receipts for Chross-check'!K24</f>
        <v>1966.2048000000002</v>
      </c>
      <c r="E106" s="73" t="s">
        <v>46</v>
      </c>
      <c r="F106" s="74"/>
      <c r="G106" s="25">
        <f>G105/365*G103</f>
        <v>57391.509756164378</v>
      </c>
      <c r="M106" s="18"/>
    </row>
    <row r="107" spans="1:13">
      <c r="A107" s="1"/>
      <c r="B107" s="66">
        <v>44681</v>
      </c>
      <c r="C107" s="61">
        <f>'Receipts for Chross-check'!K7-'Receipts for Chross-check'!K25</f>
        <v>2300.2244999999998</v>
      </c>
    </row>
    <row r="108" spans="1:13">
      <c r="B108" s="66">
        <v>44712</v>
      </c>
      <c r="C108" s="61">
        <f>'Receipts for Chross-check'!K8-'Receipts for Chross-check'!K26</f>
        <v>705.60314999999991</v>
      </c>
    </row>
    <row r="109" spans="1:13">
      <c r="B109" s="66">
        <v>44742</v>
      </c>
      <c r="C109" s="61">
        <f>'Receipts for Chross-check'!K9-'Receipts for Chross-check'!K27</f>
        <v>1057.6818000000001</v>
      </c>
    </row>
    <row r="110" spans="1:13" ht="14.4">
      <c r="B110" s="66">
        <v>44773</v>
      </c>
      <c r="C110" s="61">
        <f>'Receipts for Chross-check'!K10-'Receipts for Chross-check'!K28</f>
        <v>3603.8236499999998</v>
      </c>
      <c r="E110"/>
      <c r="F110"/>
    </row>
    <row r="111" spans="1:13" ht="14.4">
      <c r="B111" s="66">
        <v>44804</v>
      </c>
      <c r="C111" s="61">
        <f>'Receipts for Chross-check'!K11-'Receipts for Chross-check'!K29</f>
        <v>3062.5371</v>
      </c>
      <c r="E111"/>
      <c r="F111"/>
    </row>
    <row r="112" spans="1:13" ht="14.4">
      <c r="B112" s="66">
        <v>44834</v>
      </c>
      <c r="C112" s="61">
        <f>'Receipts for Chross-check'!K12-'Receipts for Chross-check'!K30</f>
        <v>855.83924999999988</v>
      </c>
      <c r="E112"/>
      <c r="F112"/>
      <c r="M112" s="17"/>
    </row>
    <row r="113" spans="2:13" ht="13.8">
      <c r="B113" s="66">
        <v>44865</v>
      </c>
      <c r="C113" s="61">
        <f>'Receipts for Chross-check'!K13-'Receipts for Chross-check'!K31</f>
        <v>206.0478</v>
      </c>
      <c r="M113" s="17"/>
    </row>
    <row r="114" spans="2:13" ht="13.8">
      <c r="B114" s="66">
        <v>44895</v>
      </c>
      <c r="C114" s="61">
        <f>'Receipts for Chross-check'!K14-'Receipts for Chross-check'!K32</f>
        <v>-9.7523999999999997</v>
      </c>
      <c r="M114" s="17"/>
    </row>
    <row r="115" spans="2:13" ht="13.8">
      <c r="B115" s="66">
        <v>44926</v>
      </c>
      <c r="C115" s="61">
        <f>'Receipts for Chross-check'!K15-'Receipts for Chross-check'!K33</f>
        <v>-11.0565</v>
      </c>
      <c r="M115" s="17"/>
    </row>
    <row r="116" spans="2:13" ht="13.8">
      <c r="B116" s="4" t="s">
        <v>7</v>
      </c>
      <c r="C116" s="46">
        <f>ROUNDDOWN(SUM(C104:C115),0)</f>
        <v>13763</v>
      </c>
      <c r="M116" s="17"/>
    </row>
    <row r="117" spans="2:13" ht="13.8">
      <c r="B117" s="66">
        <v>44927</v>
      </c>
      <c r="C117" s="61">
        <f>'Receipts for Chross-check'!N4-'Receipts for Chross-check'!N22</f>
        <v>-11.6046</v>
      </c>
      <c r="M117" s="17"/>
    </row>
    <row r="118" spans="2:13" ht="13.8">
      <c r="B118" s="66">
        <v>44958</v>
      </c>
      <c r="C118" s="61">
        <f>'Receipts for Chross-check'!N5-'Receipts for Chross-check'!N23</f>
        <v>-11.377799999999999</v>
      </c>
      <c r="M118" s="17"/>
    </row>
    <row r="119" spans="2:13" ht="13.8">
      <c r="B119" s="66">
        <v>44986</v>
      </c>
      <c r="C119" s="61">
        <f>'Receipts for Chross-check'!N6-'Receipts for Chross-check'!N24</f>
        <v>-9.4594500000000004</v>
      </c>
      <c r="M119" s="17"/>
    </row>
    <row r="120" spans="2:13" ht="13.8">
      <c r="B120" s="66">
        <v>45017</v>
      </c>
      <c r="C120" s="61">
        <f>'Receipts for Chross-check'!N7-'Receipts for Chross-check'!N25</f>
        <v>-8.0702999999999996</v>
      </c>
      <c r="M120" s="17"/>
    </row>
    <row r="121" spans="2:13" ht="13.8">
      <c r="B121" s="66">
        <v>45047</v>
      </c>
      <c r="C121" s="61">
        <f>'Receipts for Chross-check'!N8-'Receipts for Chross-check'!N26</f>
        <v>-5.4809999999999999</v>
      </c>
      <c r="M121" s="17"/>
    </row>
    <row r="122" spans="2:13" ht="13.8">
      <c r="B122" s="66">
        <v>45078</v>
      </c>
      <c r="C122" s="61">
        <f>'Receipts for Chross-check'!N9-'Receipts for Chross-check'!N27</f>
        <v>587.06235000000004</v>
      </c>
      <c r="M122" s="17"/>
    </row>
    <row r="123" spans="2:13" ht="13.8">
      <c r="B123" s="66">
        <v>45108</v>
      </c>
      <c r="C123" s="61">
        <f>'Receipts for Chross-check'!N10-'Receipts for Chross-check'!N28</f>
        <v>3609.3707999999997</v>
      </c>
      <c r="M123" s="17"/>
    </row>
    <row r="124" spans="2:13" ht="13.8">
      <c r="B124" s="66">
        <v>45139</v>
      </c>
      <c r="C124" s="61">
        <f>'Receipts for Chross-check'!N11-'Receipts for Chross-check'!N29</f>
        <v>1426.2790500000001</v>
      </c>
      <c r="M124" s="17"/>
    </row>
    <row r="125" spans="2:13" ht="13.8">
      <c r="B125" s="66">
        <v>45170</v>
      </c>
      <c r="C125" s="61">
        <f>'Receipts for Chross-check'!N12-'Receipts for Chross-check'!N30</f>
        <v>507.81464999999997</v>
      </c>
      <c r="M125" s="17"/>
    </row>
    <row r="126" spans="2:13" ht="13.8">
      <c r="B126" s="66">
        <v>45200</v>
      </c>
      <c r="C126" s="61">
        <f>'Receipts for Chross-check'!N13-'Receipts for Chross-check'!N31</f>
        <v>-6.8985000000000003</v>
      </c>
      <c r="M126" s="17"/>
    </row>
    <row r="127" spans="2:13" ht="13.8">
      <c r="B127" s="66">
        <v>45231</v>
      </c>
      <c r="C127" s="61">
        <f>'Receipts for Chross-check'!N14-'Receipts for Chross-check'!N32</f>
        <v>-9.3271499999999996</v>
      </c>
      <c r="K127" s="17"/>
      <c r="L127" s="17"/>
      <c r="M127" s="17"/>
    </row>
    <row r="128" spans="2:13">
      <c r="B128" s="66">
        <v>45261</v>
      </c>
      <c r="C128" s="61">
        <f>'Receipts for Chross-check'!N15-'Receipts for Chross-check'!N33</f>
        <v>-12.889799999999999</v>
      </c>
    </row>
    <row r="129" spans="2:3">
      <c r="B129" s="4" t="s">
        <v>8</v>
      </c>
      <c r="C129" s="46">
        <f>ROUNDDOWN(SUM(C117:C128),0)</f>
        <v>6055</v>
      </c>
    </row>
    <row r="130" spans="2:3">
      <c r="B130" s="5" t="s">
        <v>9</v>
      </c>
      <c r="C130" s="15">
        <f>ROUNDDOWN(SUM(C77,C90,C103,C116,C129), 0)</f>
        <v>46392</v>
      </c>
    </row>
    <row r="164" ht="17.100000000000001" customHeight="1"/>
    <row r="165" ht="18.75" customHeight="1"/>
  </sheetData>
  <mergeCells count="12">
    <mergeCell ref="E106:F106"/>
    <mergeCell ref="E104:F104"/>
    <mergeCell ref="E102:F102"/>
    <mergeCell ref="B2:I2"/>
    <mergeCell ref="E105:F105"/>
    <mergeCell ref="E101:F101"/>
    <mergeCell ref="B68:C68"/>
    <mergeCell ref="E103:F103"/>
    <mergeCell ref="E82:F82"/>
    <mergeCell ref="E76:F76"/>
    <mergeCell ref="E91:F91"/>
    <mergeCell ref="E85:F8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6CAA1-5460-4791-A860-137BB8CEFAA5}">
  <dimension ref="A1:S45"/>
  <sheetViews>
    <sheetView zoomScale="130" zoomScaleNormal="130" workbookViewId="0">
      <selection sqref="A1:N1"/>
    </sheetView>
  </sheetViews>
  <sheetFormatPr defaultRowHeight="13.2"/>
  <cols>
    <col min="1" max="1" width="11.109375" style="47" bestFit="1" customWidth="1"/>
    <col min="2" max="2" width="19.5546875" style="47" customWidth="1"/>
    <col min="3" max="3" width="17.44140625" style="47" customWidth="1"/>
    <col min="4" max="4" width="11.109375" style="47" bestFit="1" customWidth="1"/>
    <col min="5" max="5" width="20.6640625" style="47" customWidth="1"/>
    <col min="6" max="6" width="16.88671875" style="47" customWidth="1"/>
    <col min="7" max="7" width="11.109375" style="47" bestFit="1" customWidth="1"/>
    <col min="8" max="8" width="18.33203125" style="47" customWidth="1"/>
    <col min="9" max="9" width="16.21875" style="47" customWidth="1"/>
    <col min="10" max="10" width="11.88671875" style="47" bestFit="1" customWidth="1"/>
    <col min="11" max="11" width="26.109375" style="47" bestFit="1" customWidth="1"/>
    <col min="12" max="12" width="15.44140625" style="47" bestFit="1" customWidth="1"/>
    <col min="13" max="13" width="11.88671875" style="47" bestFit="1" customWidth="1"/>
    <col min="14" max="14" width="26.109375" style="47" bestFit="1" customWidth="1"/>
    <col min="15" max="15" width="8.77734375" style="47" customWidth="1"/>
    <col min="16" max="16" width="85" style="47" bestFit="1" customWidth="1"/>
    <col min="17" max="16384" width="8.88671875" style="47"/>
  </cols>
  <sheetData>
    <row r="1" spans="1:19" ht="25.8">
      <c r="A1" s="88" t="s">
        <v>32</v>
      </c>
      <c r="B1" s="88"/>
      <c r="C1" s="88"/>
      <c r="D1" s="88"/>
      <c r="E1" s="88"/>
      <c r="F1" s="88"/>
      <c r="G1" s="88"/>
      <c r="H1" s="88"/>
      <c r="I1" s="88"/>
      <c r="J1" s="88"/>
      <c r="K1" s="88"/>
      <c r="L1" s="88"/>
      <c r="M1" s="88"/>
      <c r="N1" s="88"/>
    </row>
    <row r="2" spans="1:19" ht="18">
      <c r="A2" s="48"/>
      <c r="B2" s="58">
        <v>2019</v>
      </c>
      <c r="D2" s="48"/>
      <c r="E2" s="58">
        <v>2020</v>
      </c>
      <c r="G2" s="48"/>
      <c r="H2" s="58">
        <v>2021</v>
      </c>
      <c r="J2" s="48"/>
      <c r="K2" s="58">
        <v>2022</v>
      </c>
      <c r="M2" s="48"/>
      <c r="N2" s="58">
        <v>2023</v>
      </c>
    </row>
    <row r="3" spans="1:19" ht="18.600000000000001" thickBot="1">
      <c r="A3" s="49"/>
      <c r="B3" s="50" t="s">
        <v>31</v>
      </c>
      <c r="D3" s="49"/>
      <c r="E3" s="50" t="s">
        <v>31</v>
      </c>
      <c r="G3" s="49"/>
      <c r="H3" s="50" t="s">
        <v>31</v>
      </c>
      <c r="J3" s="49"/>
      <c r="K3" s="50" t="s">
        <v>31</v>
      </c>
      <c r="M3" s="49"/>
      <c r="N3" s="50" t="s">
        <v>31</v>
      </c>
    </row>
    <row r="4" spans="1:19" ht="15.6">
      <c r="A4" s="51" t="s">
        <v>40</v>
      </c>
      <c r="B4" s="52">
        <f>VALUE(2244989.413/1000)*((30-7+1)/30)</f>
        <v>1795.9915304000003</v>
      </c>
      <c r="D4" s="51" t="s">
        <v>20</v>
      </c>
      <c r="E4" s="52">
        <v>0</v>
      </c>
      <c r="G4" s="51" t="s">
        <v>20</v>
      </c>
      <c r="H4" s="52">
        <v>0</v>
      </c>
      <c r="J4" s="51" t="s">
        <v>20</v>
      </c>
      <c r="K4" s="52">
        <v>0</v>
      </c>
      <c r="M4" s="51" t="s">
        <v>20</v>
      </c>
      <c r="N4" s="52">
        <v>0</v>
      </c>
    </row>
    <row r="5" spans="1:19" ht="15.6">
      <c r="A5" s="51" t="s">
        <v>25</v>
      </c>
      <c r="B5" s="52">
        <f>VALUE(3369898.231/1000)</f>
        <v>3369.8982310000001</v>
      </c>
      <c r="D5" s="51" t="s">
        <v>22</v>
      </c>
      <c r="E5" s="52">
        <v>0</v>
      </c>
      <c r="G5" s="51" t="s">
        <v>22</v>
      </c>
      <c r="H5" s="52">
        <v>0</v>
      </c>
      <c r="J5" s="51" t="s">
        <v>22</v>
      </c>
      <c r="K5" s="60">
        <f>VALUE(50453.55/1000)</f>
        <v>50.45355</v>
      </c>
      <c r="M5" s="51" t="s">
        <v>22</v>
      </c>
      <c r="N5" s="52">
        <v>0</v>
      </c>
    </row>
    <row r="6" spans="1:19" ht="15.6">
      <c r="A6" s="51" t="s">
        <v>26</v>
      </c>
      <c r="B6" s="52">
        <f>VALUE(3404778.362/1000)</f>
        <v>3404.778362</v>
      </c>
      <c r="D6" s="51" t="s">
        <v>19</v>
      </c>
      <c r="E6" s="52">
        <v>0</v>
      </c>
      <c r="G6" s="51" t="s">
        <v>19</v>
      </c>
      <c r="H6" s="52">
        <v>0</v>
      </c>
      <c r="J6" s="51" t="s">
        <v>19</v>
      </c>
      <c r="K6" s="52">
        <f>VALUE(1971062.1/1000)</f>
        <v>1971.0621000000001</v>
      </c>
      <c r="M6" s="51" t="s">
        <v>19</v>
      </c>
      <c r="N6" s="52">
        <v>0</v>
      </c>
    </row>
    <row r="7" spans="1:19" ht="15.6">
      <c r="A7" s="51" t="s">
        <v>27</v>
      </c>
      <c r="B7" s="52">
        <f>VALUE(1055564.511/1000)</f>
        <v>1055.564511</v>
      </c>
      <c r="D7" s="51" t="s">
        <v>21</v>
      </c>
      <c r="E7" s="52">
        <f>VALUE(465318.06/1000)</f>
        <v>465.31806</v>
      </c>
      <c r="G7" s="51" t="s">
        <v>21</v>
      </c>
      <c r="H7" s="52">
        <f>VALUE(234067.05/1000)</f>
        <v>234.06704999999999</v>
      </c>
      <c r="J7" s="51" t="s">
        <v>21</v>
      </c>
      <c r="K7" s="52">
        <f>VALUE(2301046.65/1000)</f>
        <v>2301.0466499999998</v>
      </c>
      <c r="M7" s="51" t="s">
        <v>21</v>
      </c>
      <c r="N7" s="52">
        <v>0</v>
      </c>
    </row>
    <row r="8" spans="1:19" ht="15.6">
      <c r="A8" s="51" t="s">
        <v>28</v>
      </c>
      <c r="B8" s="52">
        <f>VALUE(286136.74/1000)</f>
        <v>286.13673999999997</v>
      </c>
      <c r="D8" s="51" t="s">
        <v>23</v>
      </c>
      <c r="E8" s="52">
        <f>VALUE(437695.685/1000)</f>
        <v>437.69568500000003</v>
      </c>
      <c r="G8" s="51" t="s">
        <v>23</v>
      </c>
      <c r="H8" s="52">
        <f>VALUE(271914.3/1000)</f>
        <v>271.91429999999997</v>
      </c>
      <c r="J8" s="51" t="s">
        <v>23</v>
      </c>
      <c r="K8" s="52">
        <f>VALUE(708230.25/1000)</f>
        <v>708.23024999999996</v>
      </c>
      <c r="M8" s="51" t="s">
        <v>23</v>
      </c>
      <c r="N8" s="52">
        <v>0</v>
      </c>
    </row>
    <row r="9" spans="1:19" ht="15.6">
      <c r="A9" s="51" t="s">
        <v>29</v>
      </c>
      <c r="B9" s="52">
        <v>0</v>
      </c>
      <c r="D9" s="51" t="s">
        <v>24</v>
      </c>
      <c r="E9" s="52">
        <f>VALUE(2510354.716/1000)</f>
        <v>2510.3547159999998</v>
      </c>
      <c r="G9" s="51" t="s">
        <v>24</v>
      </c>
      <c r="H9" s="52">
        <f>VALUE(1537930.8/1000)</f>
        <v>1537.9308000000001</v>
      </c>
      <c r="J9" s="51" t="s">
        <v>24</v>
      </c>
      <c r="K9" s="52">
        <f>VALUE(1059798.6/1000)</f>
        <v>1059.7986000000001</v>
      </c>
      <c r="M9" s="51" t="s">
        <v>24</v>
      </c>
      <c r="N9" s="60">
        <f>VALUE(590124.15/1000)</f>
        <v>590.12414999999999</v>
      </c>
      <c r="S9" s="53"/>
    </row>
    <row r="10" spans="1:19" ht="15.6">
      <c r="A10" s="51" t="s">
        <v>30</v>
      </c>
      <c r="B10" s="52">
        <f>VALUE(94.617/1000)</f>
        <v>9.4617000000000007E-2</v>
      </c>
      <c r="D10" s="51" t="s">
        <v>25</v>
      </c>
      <c r="E10" s="52">
        <f>VALUE(3615853.379/1000)</f>
        <v>3615.8533790000001</v>
      </c>
      <c r="G10" s="51" t="s">
        <v>25</v>
      </c>
      <c r="H10" s="52">
        <f>VALUE(3593428.65/1000)</f>
        <v>3593.4286499999998</v>
      </c>
      <c r="J10" s="51" t="s">
        <v>25</v>
      </c>
      <c r="K10" s="52">
        <f>VALUE(3603889.8/1000)</f>
        <v>3603.8897999999999</v>
      </c>
      <c r="M10" s="51" t="s">
        <v>25</v>
      </c>
      <c r="N10" s="60">
        <f>VALUE(3609427.5/1000)</f>
        <v>3609.4274999999998</v>
      </c>
    </row>
    <row r="11" spans="1:19" ht="15.6">
      <c r="D11" s="51" t="s">
        <v>26</v>
      </c>
      <c r="E11" s="52">
        <f>VALUE(3205525.01/1000)</f>
        <v>3205.5250099999998</v>
      </c>
      <c r="G11" s="51" t="s">
        <v>26</v>
      </c>
      <c r="H11" s="52">
        <f>VALUE(330532.65/1000)</f>
        <v>330.53265000000005</v>
      </c>
      <c r="J11" s="51" t="s">
        <v>26</v>
      </c>
      <c r="K11" s="52">
        <f>VALUE(3063123/1000)</f>
        <v>3063.123</v>
      </c>
      <c r="M11" s="51" t="s">
        <v>26</v>
      </c>
      <c r="N11" s="60">
        <f>VALUE(1428339.15/1000)</f>
        <v>1428.33915</v>
      </c>
    </row>
    <row r="12" spans="1:19" ht="15.6">
      <c r="D12" s="51" t="s">
        <v>27</v>
      </c>
      <c r="E12" s="52">
        <f>VALUE(652645.284/1000)</f>
        <v>652.64528399999995</v>
      </c>
      <c r="G12" s="51" t="s">
        <v>27</v>
      </c>
      <c r="H12" s="52">
        <v>0</v>
      </c>
      <c r="J12" s="51" t="s">
        <v>27</v>
      </c>
      <c r="K12" s="52">
        <f>VALUE(858116.7/1000)</f>
        <v>858.11669999999992</v>
      </c>
      <c r="M12" s="51" t="s">
        <v>27</v>
      </c>
      <c r="N12" s="52">
        <f>VALUE(510630.75/1000)</f>
        <v>510.63074999999998</v>
      </c>
    </row>
    <row r="13" spans="1:19" ht="15.6">
      <c r="D13" s="51" t="s">
        <v>28</v>
      </c>
      <c r="E13" s="52">
        <v>0</v>
      </c>
      <c r="G13" s="51" t="s">
        <v>28</v>
      </c>
      <c r="H13" s="52">
        <v>0</v>
      </c>
      <c r="J13" s="51" t="s">
        <v>28</v>
      </c>
      <c r="K13" s="52">
        <f>VALUE(212379.3/1000)</f>
        <v>212.3793</v>
      </c>
      <c r="M13" s="51" t="s">
        <v>28</v>
      </c>
      <c r="N13" s="52">
        <v>0</v>
      </c>
    </row>
    <row r="14" spans="1:19" ht="15.6">
      <c r="D14" s="51" t="s">
        <v>29</v>
      </c>
      <c r="E14" s="52">
        <v>0</v>
      </c>
      <c r="G14" s="51" t="s">
        <v>29</v>
      </c>
      <c r="H14" s="52">
        <v>0</v>
      </c>
      <c r="J14" s="51" t="s">
        <v>29</v>
      </c>
      <c r="K14" s="52">
        <v>0</v>
      </c>
      <c r="M14" s="51" t="s">
        <v>29</v>
      </c>
      <c r="N14" s="52">
        <v>0</v>
      </c>
    </row>
    <row r="15" spans="1:19" ht="15.6">
      <c r="D15" s="51" t="s">
        <v>30</v>
      </c>
      <c r="E15" s="52">
        <v>0</v>
      </c>
      <c r="G15" s="51" t="s">
        <v>30</v>
      </c>
      <c r="H15" s="52">
        <v>0</v>
      </c>
      <c r="J15" s="51" t="s">
        <v>30</v>
      </c>
      <c r="K15" s="52">
        <v>0</v>
      </c>
      <c r="M15" s="51" t="s">
        <v>30</v>
      </c>
      <c r="N15" s="52">
        <v>0</v>
      </c>
    </row>
    <row r="16" spans="1:19" ht="21">
      <c r="P16" s="54" t="s">
        <v>51</v>
      </c>
    </row>
    <row r="17" spans="1:16" ht="15.6">
      <c r="A17" s="55" t="s">
        <v>14</v>
      </c>
      <c r="B17" s="56">
        <f>VALUE(SUM(B4:B10))</f>
        <v>9912.4639914000018</v>
      </c>
      <c r="D17" s="55" t="s">
        <v>14</v>
      </c>
      <c r="E17" s="56">
        <f>VALUE(SUM(E4:E15))</f>
        <v>10887.392134</v>
      </c>
      <c r="G17" s="55" t="s">
        <v>14</v>
      </c>
      <c r="H17" s="56">
        <f>VALUE(SUM(H4:H15))</f>
        <v>5967.87345</v>
      </c>
      <c r="J17" s="55" t="s">
        <v>14</v>
      </c>
      <c r="K17" s="56">
        <f>VALUE(SUM(K4:K15))</f>
        <v>13828.09995</v>
      </c>
      <c r="M17" s="55" t="s">
        <v>14</v>
      </c>
      <c r="N17" s="56">
        <f>VALUE(SUM(N4:N15))</f>
        <v>6138.5215499999995</v>
      </c>
      <c r="P17" s="57">
        <f>VALUE(K17+N17+H17+E17+B17)</f>
        <v>46734.351075400002</v>
      </c>
    </row>
    <row r="19" spans="1:16" ht="25.8">
      <c r="A19" s="87" t="s">
        <v>33</v>
      </c>
      <c r="B19" s="87"/>
      <c r="C19" s="87"/>
      <c r="D19" s="87"/>
      <c r="E19" s="87"/>
      <c r="F19" s="87"/>
      <c r="G19" s="87"/>
      <c r="H19" s="87"/>
      <c r="I19" s="87"/>
      <c r="J19" s="87"/>
      <c r="K19" s="87"/>
      <c r="L19" s="87"/>
      <c r="M19" s="87"/>
      <c r="N19" s="87"/>
    </row>
    <row r="20" spans="1:16" ht="18">
      <c r="A20" s="48"/>
      <c r="B20" s="59">
        <v>2019</v>
      </c>
      <c r="D20" s="48"/>
      <c r="E20" s="59">
        <v>2020</v>
      </c>
      <c r="G20" s="48"/>
      <c r="H20" s="59">
        <v>2021</v>
      </c>
      <c r="J20" s="48"/>
      <c r="K20" s="59">
        <v>2022</v>
      </c>
      <c r="M20" s="48"/>
      <c r="N20" s="59">
        <v>2023</v>
      </c>
    </row>
    <row r="21" spans="1:16" ht="18.600000000000001" thickBot="1">
      <c r="A21" s="49"/>
      <c r="B21" s="50" t="s">
        <v>31</v>
      </c>
      <c r="D21" s="49"/>
      <c r="E21" s="50" t="s">
        <v>31</v>
      </c>
      <c r="G21" s="49"/>
      <c r="H21" s="50" t="s">
        <v>31</v>
      </c>
      <c r="J21" s="49"/>
      <c r="K21" s="50" t="s">
        <v>31</v>
      </c>
      <c r="M21" s="49"/>
      <c r="N21" s="50" t="s">
        <v>31</v>
      </c>
    </row>
    <row r="22" spans="1:16" ht="15.6">
      <c r="A22" s="51" t="s">
        <v>40</v>
      </c>
      <c r="B22" s="52">
        <f>VALUE(66.0003/1000)*((30-7+1)/30)</f>
        <v>5.2800239999999998E-2</v>
      </c>
      <c r="D22" s="51" t="s">
        <v>20</v>
      </c>
      <c r="E22" s="52">
        <f>VALUE(16008.0218/1000)</f>
        <v>16.008021800000002</v>
      </c>
      <c r="G22" s="51" t="s">
        <v>20</v>
      </c>
      <c r="H22" s="52">
        <f>VALUE(11491.0047/1000)</f>
        <v>11.4910047</v>
      </c>
      <c r="J22" s="51" t="s">
        <v>20</v>
      </c>
      <c r="K22" s="52">
        <f>VALUE(12965.4/1000)</f>
        <v>12.965399999999999</v>
      </c>
      <c r="M22" s="51" t="s">
        <v>20</v>
      </c>
      <c r="N22" s="52">
        <f>VALUE(11604.6/1000)</f>
        <v>11.6046</v>
      </c>
    </row>
    <row r="23" spans="1:16" ht="15.6">
      <c r="A23" s="51" t="s">
        <v>25</v>
      </c>
      <c r="B23" s="52">
        <f>VALUE(236.001/1000)</f>
        <v>0.23600100000000002</v>
      </c>
      <c r="D23" s="51" t="s">
        <v>22</v>
      </c>
      <c r="E23" s="52">
        <f>VALUE(14837.0198/1000)</f>
        <v>14.8370198</v>
      </c>
      <c r="G23" s="51" t="s">
        <v>22</v>
      </c>
      <c r="H23" s="52">
        <f>VALUE(10508.0007/1000)</f>
        <v>10.5080007</v>
      </c>
      <c r="J23" s="51" t="s">
        <v>22</v>
      </c>
      <c r="K23" s="52">
        <f>VALUE(11122.65/1000)</f>
        <v>11.12265</v>
      </c>
      <c r="M23" s="51" t="s">
        <v>22</v>
      </c>
      <c r="N23" s="52">
        <f>VALUE(11377.8/1000)</f>
        <v>11.377799999999999</v>
      </c>
    </row>
    <row r="24" spans="1:16" ht="15.6">
      <c r="A24" s="51" t="s">
        <v>26</v>
      </c>
      <c r="B24" s="52">
        <f>VALUE(141.9994/1000)</f>
        <v>0.1419994</v>
      </c>
      <c r="D24" s="51" t="s">
        <v>19</v>
      </c>
      <c r="E24" s="52">
        <f>VALUE(12983.9742/1000)</f>
        <v>12.9839742</v>
      </c>
      <c r="G24" s="51" t="s">
        <v>19</v>
      </c>
      <c r="H24" s="52">
        <f>VALUE(11926.0054/1000)</f>
        <v>11.926005399999999</v>
      </c>
      <c r="J24" s="51" t="s">
        <v>19</v>
      </c>
      <c r="K24" s="52">
        <f>VALUE(4857.3/1000)</f>
        <v>4.8573000000000004</v>
      </c>
      <c r="M24" s="51" t="s">
        <v>19</v>
      </c>
      <c r="N24" s="52">
        <f>VALUE(9459.45/1000)</f>
        <v>9.4594500000000004</v>
      </c>
    </row>
    <row r="25" spans="1:16" ht="15.6">
      <c r="A25" s="51" t="s">
        <v>27</v>
      </c>
      <c r="B25" s="52">
        <f>VALUE(9/1000)</f>
        <v>8.9999999999999993E-3</v>
      </c>
      <c r="D25" s="51" t="s">
        <v>21</v>
      </c>
      <c r="E25" s="52">
        <f>VALUE(6860.9751/1000)</f>
        <v>6.8609750999999992</v>
      </c>
      <c r="G25" s="51" t="s">
        <v>21</v>
      </c>
      <c r="H25" s="52">
        <f>VALUE(6926.85/1000)</f>
        <v>6.92685</v>
      </c>
      <c r="J25" s="51" t="s">
        <v>21</v>
      </c>
      <c r="K25" s="52">
        <f>VALUE(822.15/1000)</f>
        <v>0.82214999999999994</v>
      </c>
      <c r="M25" s="51" t="s">
        <v>21</v>
      </c>
      <c r="N25" s="52">
        <f>VALUE(8070.3/1000)</f>
        <v>8.0702999999999996</v>
      </c>
    </row>
    <row r="26" spans="1:16" ht="15.6">
      <c r="A26" s="51" t="s">
        <v>28</v>
      </c>
      <c r="B26" s="52">
        <f>VALUE(2598.9989/1000)</f>
        <v>2.5989989000000002</v>
      </c>
      <c r="D26" s="51" t="s">
        <v>23</v>
      </c>
      <c r="E26" s="52">
        <f>VALUE(5319.9855/1000)</f>
        <v>5.3199854999999996</v>
      </c>
      <c r="G26" s="51" t="s">
        <v>23</v>
      </c>
      <c r="H26" s="52">
        <f>VALUE(3099.6/1000)</f>
        <v>3.0995999999999997</v>
      </c>
      <c r="J26" s="51" t="s">
        <v>23</v>
      </c>
      <c r="K26" s="52">
        <f>VALUE(2627.1/1000)</f>
        <v>2.6271</v>
      </c>
      <c r="M26" s="51" t="s">
        <v>23</v>
      </c>
      <c r="N26" s="52">
        <f>VALUE(5481/1000)</f>
        <v>5.4809999999999999</v>
      </c>
    </row>
    <row r="27" spans="1:16" ht="15.6">
      <c r="A27" s="51" t="s">
        <v>29</v>
      </c>
      <c r="B27" s="52">
        <f>VALUE(7834.0085/1000)</f>
        <v>7.8340084999999995</v>
      </c>
      <c r="D27" s="51" t="s">
        <v>24</v>
      </c>
      <c r="E27" s="52">
        <f>VALUE(850.9981/1000)</f>
        <v>0.85099809999999998</v>
      </c>
      <c r="G27" s="51" t="s">
        <v>24</v>
      </c>
      <c r="H27" s="52">
        <f>VALUE(1776.6/1000)</f>
        <v>1.7766</v>
      </c>
      <c r="J27" s="51" t="s">
        <v>24</v>
      </c>
      <c r="K27" s="52">
        <f>VALUE(2116.8/1000)</f>
        <v>2.1168</v>
      </c>
      <c r="M27" s="51" t="s">
        <v>24</v>
      </c>
      <c r="N27" s="52">
        <f>VALUE(3061.8/1000)</f>
        <v>3.0618000000000003</v>
      </c>
    </row>
    <row r="28" spans="1:16" ht="15.6">
      <c r="A28" s="51" t="s">
        <v>30</v>
      </c>
      <c r="B28" s="52">
        <f>VALUE(15043.9502/1000)</f>
        <v>15.043950199999999</v>
      </c>
      <c r="D28" s="51" t="s">
        <v>25</v>
      </c>
      <c r="E28" s="52">
        <f>VALUE(46.9999/1000)</f>
        <v>4.6999899999999997E-2</v>
      </c>
      <c r="G28" s="51" t="s">
        <v>25</v>
      </c>
      <c r="H28" s="52">
        <f>VALUE(56.7/1000)</f>
        <v>5.67E-2</v>
      </c>
      <c r="J28" s="51" t="s">
        <v>25</v>
      </c>
      <c r="K28" s="52">
        <f>VALUE(66.15/1000)</f>
        <v>6.615E-2</v>
      </c>
      <c r="M28" s="51" t="s">
        <v>25</v>
      </c>
      <c r="N28" s="52">
        <f>VALUE(56.7/1000)</f>
        <v>5.67E-2</v>
      </c>
    </row>
    <row r="29" spans="1:16" ht="15.6">
      <c r="D29" s="51" t="s">
        <v>26</v>
      </c>
      <c r="E29" s="52">
        <f>VALUE(368.9994/1000)</f>
        <v>0.36899939999999998</v>
      </c>
      <c r="G29" s="51" t="s">
        <v>26</v>
      </c>
      <c r="H29" s="52">
        <f>VALUE(2976.75/1000)</f>
        <v>2.97675</v>
      </c>
      <c r="J29" s="51" t="s">
        <v>26</v>
      </c>
      <c r="K29" s="52">
        <f>VALUE(585.9/1000)</f>
        <v>0.58589999999999998</v>
      </c>
      <c r="M29" s="51" t="s">
        <v>26</v>
      </c>
      <c r="N29" s="52">
        <f>VALUE(2060.1/1000)</f>
        <v>2.0600999999999998</v>
      </c>
    </row>
    <row r="30" spans="1:16" ht="15.6">
      <c r="D30" s="51" t="s">
        <v>27</v>
      </c>
      <c r="E30" s="52">
        <f>VALUE(2569.9877/1000)</f>
        <v>2.5699877</v>
      </c>
      <c r="G30" s="51" t="s">
        <v>27</v>
      </c>
      <c r="H30" s="52">
        <f>VALUE(4394.25/1000)</f>
        <v>4.3942500000000004</v>
      </c>
      <c r="J30" s="51" t="s">
        <v>27</v>
      </c>
      <c r="K30" s="52">
        <f>VALUE(2277.45/1000)</f>
        <v>2.27745</v>
      </c>
      <c r="M30" s="51" t="s">
        <v>27</v>
      </c>
      <c r="N30" s="52">
        <f>VALUE(2816.1/1000)</f>
        <v>2.8161</v>
      </c>
    </row>
    <row r="31" spans="1:16" ht="15.6">
      <c r="D31" s="51" t="s">
        <v>28</v>
      </c>
      <c r="E31" s="52">
        <f>VALUE(4535.9919/1000)</f>
        <v>4.5359919</v>
      </c>
      <c r="G31" s="51" t="s">
        <v>28</v>
      </c>
      <c r="H31" s="52">
        <f>VALUE(6511.05/1000)</f>
        <v>6.51105</v>
      </c>
      <c r="J31" s="51" t="s">
        <v>28</v>
      </c>
      <c r="K31" s="52">
        <f>VALUE(6331.5/1000)</f>
        <v>6.3315000000000001</v>
      </c>
      <c r="M31" s="51" t="s">
        <v>28</v>
      </c>
      <c r="N31" s="52">
        <f>VALUE(6898.5/1000)</f>
        <v>6.8985000000000003</v>
      </c>
    </row>
    <row r="32" spans="1:16" ht="15.6">
      <c r="D32" s="51" t="s">
        <v>29</v>
      </c>
      <c r="E32" s="52">
        <f>VALUE(11274.0071/1000)</f>
        <v>11.2740071</v>
      </c>
      <c r="G32" s="51" t="s">
        <v>29</v>
      </c>
      <c r="H32" s="52">
        <f>VALUE(9043.65/1000)</f>
        <v>9.0436499999999995</v>
      </c>
      <c r="J32" s="51" t="s">
        <v>29</v>
      </c>
      <c r="K32" s="52">
        <f>VALUE(9752.4/1000)</f>
        <v>9.7523999999999997</v>
      </c>
      <c r="M32" s="51" t="s">
        <v>29</v>
      </c>
      <c r="N32" s="52">
        <f>VALUE(9327.15/1000)</f>
        <v>9.3271499999999996</v>
      </c>
    </row>
    <row r="33" spans="1:16" ht="15.6">
      <c r="D33" s="51" t="s">
        <v>30</v>
      </c>
      <c r="E33" s="52">
        <f>VALUE(11756.0495/1000)</f>
        <v>11.7560495</v>
      </c>
      <c r="G33" s="51" t="s">
        <v>30</v>
      </c>
      <c r="H33" s="52">
        <f>VALUE(11188.8/1000)</f>
        <v>11.188799999999999</v>
      </c>
      <c r="J33" s="51" t="s">
        <v>30</v>
      </c>
      <c r="K33" s="52">
        <f>VALUE(11056.5/1000)</f>
        <v>11.0565</v>
      </c>
      <c r="M33" s="51" t="s">
        <v>30</v>
      </c>
      <c r="N33" s="52">
        <f>VALUE(12889.8/1000)</f>
        <v>12.889799999999999</v>
      </c>
    </row>
    <row r="34" spans="1:16" ht="21">
      <c r="P34" s="54" t="s">
        <v>51</v>
      </c>
    </row>
    <row r="35" spans="1:16" ht="15.6">
      <c r="A35" s="55" t="s">
        <v>14</v>
      </c>
      <c r="B35" s="56">
        <f>VALUE(SUM(B22:B28))</f>
        <v>25.91675824</v>
      </c>
      <c r="D35" s="55" t="s">
        <v>14</v>
      </c>
      <c r="E35" s="56">
        <f>SUM(E22:E33)</f>
        <v>87.413010000000014</v>
      </c>
      <c r="G35" s="55" t="s">
        <v>14</v>
      </c>
      <c r="H35" s="56">
        <f>SUM(H22:H33)</f>
        <v>79.899260800000008</v>
      </c>
      <c r="J35" s="55" t="s">
        <v>14</v>
      </c>
      <c r="K35" s="56">
        <f>VALUE(SUM(K22:K33))</f>
        <v>64.581299999999999</v>
      </c>
      <c r="M35" s="55" t="s">
        <v>14</v>
      </c>
      <c r="N35" s="56">
        <f>VALUE(SUM(N22:N33))</f>
        <v>83.10329999999999</v>
      </c>
      <c r="P35" s="57">
        <f>VALUE(B35+E35+H35+K35+N35)</f>
        <v>340.91362904000005</v>
      </c>
    </row>
    <row r="38" spans="1:16" ht="15.6" customHeight="1">
      <c r="A38" s="65" t="s">
        <v>38</v>
      </c>
      <c r="B38" s="63" t="s">
        <v>39</v>
      </c>
      <c r="C38" s="62"/>
      <c r="D38" s="62"/>
      <c r="E38" s="62"/>
    </row>
    <row r="39" spans="1:16" ht="13.2" customHeight="1">
      <c r="A39"/>
      <c r="B39" s="62"/>
      <c r="C39" s="62"/>
      <c r="D39" s="62"/>
      <c r="E39" s="62"/>
    </row>
    <row r="40" spans="1:16" ht="13.2" customHeight="1">
      <c r="B40" s="62"/>
      <c r="C40" s="62"/>
      <c r="D40" s="62"/>
      <c r="E40" s="62"/>
    </row>
    <row r="41" spans="1:16" ht="13.2" customHeight="1">
      <c r="B41" s="62"/>
      <c r="C41" s="62"/>
      <c r="D41" s="62"/>
      <c r="E41" s="62"/>
    </row>
    <row r="42" spans="1:16" ht="13.2" customHeight="1">
      <c r="B42" s="62"/>
      <c r="C42" s="62"/>
      <c r="D42" s="62"/>
      <c r="E42" s="62"/>
    </row>
    <row r="43" spans="1:16" ht="13.2" customHeight="1">
      <c r="B43" s="62"/>
      <c r="C43" s="62"/>
      <c r="D43" s="62"/>
      <c r="E43" s="62"/>
    </row>
    <row r="44" spans="1:16" ht="13.2" customHeight="1">
      <c r="B44" s="62"/>
      <c r="C44" s="62"/>
      <c r="D44" s="62"/>
      <c r="E44" s="62"/>
    </row>
    <row r="45" spans="1:16" ht="15">
      <c r="B45" s="62"/>
    </row>
  </sheetData>
  <mergeCells count="2">
    <mergeCell ref="A1:N1"/>
    <mergeCell ref="A19:N19"/>
  </mergeCells>
  <phoneticPr fontId="31" type="noConversion"/>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I D A A B Q S w M E F A A C A A g A I o h N V f v o k z 6 l A A A A 9 g A A A B I A H A B D b 2 5 m a W c v U G F j a 2 F n Z S 5 4 b W w g o h g A K K A U A A A A A A A A A A A A A A A A A A A A A A A A A A A A h Y + x D o I w F E V / h X S n L W V R 8 i i J D i 6 S m J g Y 1 w Y r N M L D 0 G L 5 N w c / y V 8 Q o 6 i b 4 z 3 3 D P f e r z f I h q Y O L r q z p s W U R J S T Q G P R H g y W K e n d M Z y R T M J G F S d V 6 m C U 0 S a D P a S k c u 6 c M O a 9 p z 6 m b V c y w X n E 9 v l 6 W 1 S 6 U e Q j m / 9 y a N A 6 h Y U m E n a v M V L Q i M 9 p z A X l w C Y I u c G v I M a 9 z / Y H w r K v X d 9 p q T F c L Y B N E d j 7 g 3 w A U E s D B B Q A A g A I A C K I T 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i i E 1 V e q x n d N s A A A C F A Q A A E w A c A E Z v c m 1 1 b G F z L 1 N l Y 3 R p b 2 4 x L m 0 g o h g A K K A U A A A A A A A A A A A A A A A A A A A A A A A A A A A A f Y 5 B i s J A E E X 3 g d y h a D c J h I B r c R W y m x k G b B g Y c d H G c h L s d I X q D j i G 3 M R D e A c 9 m K 1 Z i E K s T U H 9 X / 9 9 i 4 W r y M B i 2 N N Z G I S B L R X j B q R a a 5 z C H D S 6 M A A / C 2 q 5 Q H / J 9 w X q N G u Z 0 b g f 4 t 2 a a B f F 3 f J L 1 T g X w 6 d Y 9 c u M j P O W V T I E T E R W K v N 3 C / 9 v U P i k u z W V r I z d E t c Z 6 b Y 2 N 9 F G A y 3 p O n E + f l 5 O U i T g v A A O 9 6 5 P o B M y / 8 0 / n q 5 9 / A C p p n J K V w c P y 1 V R g q + 5 G S X a 6 K X a E 1 b 6 7 P S b q U E e 6 z B i 6 e M w q M z 7 T r M r U E s B A i 0 A F A A C A A g A I o h N V f v o k z 6 l A A A A 9 g A A A B I A A A A A A A A A A A A A A A A A A A A A A E N v b m Z p Z y 9 Q Y W N r Y W d l L n h t b F B L A Q I t A B Q A A g A I A C K I T V U P y u m r p A A A A O k A A A A T A A A A A A A A A A A A A A A A A P E A A A B b Q 2 9 u d G V u d F 9 U e X B l c 1 0 u e G 1 s U E s B A i 0 A F A A C A A g A I o h N V X q s Z 3 T b A A A A h Q E A A B M A A A A A A A A A A A A A A A A A 4 g E A A E Z v c m 1 1 b G F z L 1 N l Y 3 R p b 2 4 x L m 1 Q S w U G A A A A A A M A A w D C A A A A C 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g k A A A A A A A D 8 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N y I g L z 4 8 R W 5 0 c n k g V H l w Z T 0 i R m l s b E V y c m 9 y Q 2 9 k Z S I g V m F s d W U 9 I n N V b m t u b 3 d u I i A v P j x F b n R y e S B U e X B l P S J G a W x s R X J y b 3 J D b 3 V u d C I g V m F s d W U 9 I m w w I i A v P j x F b n R y e S B U e X B l P S J G a W x s T G F z d F V w Z G F 0 Z W Q i I F Z h b H V l P S J k M j A y M i 0 x M C 0 x M 1 Q x M z o 1 O T o x N C 4 w O D U 5 M D g 4 W i I g L z 4 8 R W 5 0 c n k g V H l w Z T 0 i R m l s b E N v b H V t b l R 5 c G V z I i B W Y W x 1 Z T 0 i c 0 J n W T 0 i I C 8 + P E V u d H J 5 I F R 5 c G U 9 I k Z p b G x D b 2 x 1 b W 5 O Y W 1 l c y I g V m F s d W U 9 I n N b J n F 1 b 3 Q 7 w 5 x N x L B U J n F 1 b 3 Q 7 L C Z x d W 9 0 O 1 R F W k V M J n F 1 b 3 Q 7 X S 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V G F i b G U x L 0 F 1 d G 9 S Z W 1 v d m V k Q 2 9 s d W 1 u c z E u e 8 O c T c S w V C w w f S Z x d W 9 0 O y w m c X V v d D t T Z W N 0 a W 9 u M S 9 U Y W J s Z T E v Q X V 0 b 1 J l b W 9 2 Z W R D b 2 x 1 b W 5 z M S 5 7 V E V a R U w s M X 0 m c X V v d D t d L C Z x d W 9 0 O 0 N v b H V t b k N v d W 5 0 J n F 1 b 3 Q 7 O j I s J n F 1 b 3 Q 7 S 2 V 5 Q 2 9 s d W 1 u T m F t Z X M m c X V v d D s 6 W 1 0 s J n F 1 b 3 Q 7 Q 2 9 s d W 1 u S W R l b n R p d G l l c y Z x d W 9 0 O z p b J n F 1 b 3 Q 7 U 2 V j d G l v b j E v V G F i b G U x L 0 F 1 d G 9 S Z W 1 v d m V k Q 2 9 s d W 1 u c z E u e 8 O c T c S w V C w w f S Z x d W 9 0 O y w m c X V v d D t T Z W N 0 a W 9 u M S 9 U Y W J s Z T E v Q X V 0 b 1 J l b W 9 2 Z W R D b 2 x 1 b W 5 z M S 5 7 V E V a R U w s M X 0 m c X V v d D t d L C Z x d W 9 0 O 1 J l b G F 0 a W 9 u c 2 h p c E l u Z m 8 m c X V v d D s 6 W 1 1 9 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x J d G V t P j x J d G V t T G 9 j Y X R p b 2 4 + P E l 0 Z W 1 U e X B l P k Z v c m 1 1 b G E 8 L 0 l 0 Z W 1 U e X B l P j x J d G V t U G F 0 a D 5 T Z W N 0 a W 9 u M S 9 U Y W J s Z T E v Q 2 F w a X R h b G l 6 Z W Q l M j B F Y W N o J T I w V 2 9 y Z D w v S X R l b V B h d G g + P C 9 J d G V t T G 9 j Y X R p b 2 4 + P F N 0 Y W J s Z U V u d H J p Z X M g L z 4 8 L 0 l 0 Z W 0 + P C 9 J d G V t c z 4 8 L 0 x v Y 2 F s U G F j a 2 F n Z U 1 l d G F k Y X R h R m l s Z T 4 W A A A A U E s F B g A A A A A A A A A A A A A A A A A A A A A A A C Y B A A A B A A A A 0 I y d 3 w E V 0 R G M e g D A T 8 K X 6 w E A A A C h q V h Y r / Z a S q e p y X e r 1 O w R A A A A A A I A A A A A A B B m A A A A A Q A A I A A A A L o C N S T i A 3 v S 1 F 5 E K h Q d L w E t K Y w h 3 Y G m 6 5 q b O 9 Y G Q e R f A A A A A A 6 A A A A A A g A A I A A A A O c + R H j K p 3 y I v 8 5 L E t h n 4 g F U u H 0 J r T n o i k u / 8 + j R g o h 9 U A A A A L z C e Q D o Y T d y X i w v 2 3 D c r P j r Z 8 4 b B M C F H W l T 3 J i g X J e J 9 f C 4 / H 2 4 W e t r + X W C b O m s r 6 K V u y / j 4 1 4 M q y D Y N K y / u d / o S 7 D D O w G H k X P c R L 8 X U K K O Q A A A A G M Q t N V + 5 z j X 9 3 Z Z l h P + e W E o C C H s Q 0 N i u w H V E U 8 w w 5 e H L u 3 5 C K Y / l x 7 A / e k Y V 6 l j / w r d e 5 h c W J + x V Y K 6 A l z 4 i Q 0 = < / D a t a M a s h u p > 
</file>

<file path=customXml/itemProps1.xml><?xml version="1.0" encoding="utf-8"?>
<ds:datastoreItem xmlns:ds="http://schemas.openxmlformats.org/officeDocument/2006/customXml" ds:itemID="{83FBB6B4-0A7D-4C9C-8604-B823E66A131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Electricity Generation&amp;Vintages</vt:lpstr>
      <vt:lpstr>Receipts for Chross-check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hazal</dc:creator>
  <cp:keywords/>
  <dc:description/>
  <cp:lastModifiedBy>Mehmet Aydoğdu</cp:lastModifiedBy>
  <cp:revision/>
  <dcterms:created xsi:type="dcterms:W3CDTF">2022-04-14T12:17:41Z</dcterms:created>
  <dcterms:modified xsi:type="dcterms:W3CDTF">2024-12-12T07:41:49Z</dcterms:modified>
  <cp:category/>
  <cp:contentStatus/>
</cp:coreProperties>
</file>