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ulikabiswas/Documents/Weact/SOC_PD &amp; Monitoring/PRR_VERRA_Final/PRR_3rd round_VVB_13May2024_Final/VCS 2710_3rd round PRR_VVB/VERRA_Confidential data_remove/"/>
    </mc:Choice>
  </mc:AlternateContent>
  <xr:revisionPtr revIDLastSave="0" documentId="13_ncr:1_{A6D5A59D-86BC-2C4C-96BB-4763AEFA45C3}" xr6:coauthVersionLast="47" xr6:coauthVersionMax="47" xr10:uidLastSave="{00000000-0000-0000-0000-000000000000}"/>
  <bookViews>
    <workbookView xWindow="0" yWindow="740" windowWidth="29400" windowHeight="17080" firstSheet="14" activeTab="21" xr2:uid="{3B62DF23-EF2B-4B97-84D0-A66B9E158FCA}"/>
  </bookViews>
  <sheets>
    <sheet name="Assumptions" sheetId="18" r:id="rId1"/>
    <sheet name="PDB_Fertilizer" sheetId="20" r:id="rId2"/>
    <sheet name="PDB_Burning" sheetId="22" r:id="rId3"/>
    <sheet name="PDB_Livestock" sheetId="21" r:id="rId4"/>
    <sheet name="PDB_woody perennials" sheetId="23" r:id="rId5"/>
    <sheet name="Fertilizer_baseline" sheetId="1" r:id="rId6"/>
    <sheet name="Fertilizer_project" sheetId="11" r:id="rId7"/>
    <sheet name="Burning_baseline" sheetId="3" r:id="rId8"/>
    <sheet name="Burning_project" sheetId="4" r:id="rId9"/>
    <sheet name="Manure_baseline" sheetId="27" r:id="rId10"/>
    <sheet name="Manure_project" sheetId="29" r:id="rId11"/>
    <sheet name="BR_woody perennials" sheetId="12" r:id="rId12"/>
    <sheet name="PR_woody perennials" sheetId="9" r:id="rId13"/>
    <sheet name="BE_PE_CH4 Emission_Livestock" sheetId="6" r:id="rId14"/>
    <sheet name="Soil data_baseline" sheetId="31" r:id="rId15"/>
    <sheet name="soil analysis data_Project" sheetId="25" r:id="rId16"/>
    <sheet name="Project removal_SOC" sheetId="26" r:id="rId17"/>
    <sheet name="Emission Removal" sheetId="10" r:id="rId18"/>
    <sheet name="Buffer Calculation" sheetId="30" r:id="rId19"/>
    <sheet name="PD" sheetId="14" r:id="rId20"/>
    <sheet name="Project emission removals" sheetId="15" r:id="rId21"/>
    <sheet name="Sample plot" sheetId="19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5" i="10" l="1"/>
  <c r="G31" i="14"/>
  <c r="D49" i="19"/>
  <c r="D50" i="19"/>
  <c r="D51" i="19"/>
  <c r="D52" i="19"/>
  <c r="D53" i="19"/>
  <c r="D54" i="19"/>
  <c r="D55" i="19"/>
  <c r="D56" i="19"/>
  <c r="D57" i="19"/>
  <c r="D58" i="19"/>
  <c r="D59" i="19"/>
  <c r="D60" i="19"/>
  <c r="D61" i="19"/>
  <c r="D62" i="19"/>
  <c r="D63" i="19"/>
  <c r="D64" i="19"/>
  <c r="D65" i="19"/>
  <c r="D66" i="19"/>
  <c r="D67" i="19"/>
  <c r="D68" i="19"/>
  <c r="D69" i="19"/>
  <c r="D48" i="19"/>
  <c r="B116" i="26"/>
  <c r="B113" i="26"/>
  <c r="B110" i="26"/>
  <c r="B101" i="26"/>
  <c r="B98" i="26"/>
  <c r="B95" i="26"/>
  <c r="B86" i="26"/>
  <c r="B83" i="26"/>
  <c r="B77" i="26"/>
  <c r="B71" i="26"/>
  <c r="B68" i="26"/>
  <c r="B59" i="26"/>
  <c r="B56" i="26"/>
  <c r="B47" i="26"/>
  <c r="B44" i="26"/>
  <c r="B41" i="26"/>
  <c r="B35" i="26"/>
  <c r="B32" i="26"/>
  <c r="B29" i="26"/>
  <c r="B23" i="26"/>
  <c r="B14" i="26"/>
  <c r="B11" i="26"/>
  <c r="D116" i="25"/>
  <c r="D113" i="25"/>
  <c r="D110" i="25"/>
  <c r="D101" i="25"/>
  <c r="D98" i="25"/>
  <c r="D95" i="25"/>
  <c r="D86" i="25"/>
  <c r="D83" i="25"/>
  <c r="D77" i="25"/>
  <c r="D71" i="25"/>
  <c r="D68" i="25"/>
  <c r="D59" i="25"/>
  <c r="D56" i="25"/>
  <c r="D47" i="25"/>
  <c r="D44" i="25"/>
  <c r="D41" i="25"/>
  <c r="D35" i="25"/>
  <c r="D32" i="25"/>
  <c r="D29" i="25"/>
  <c r="D23" i="25"/>
  <c r="D14" i="25"/>
  <c r="D11" i="25"/>
  <c r="B70" i="6"/>
  <c r="B67" i="6"/>
  <c r="B64" i="6"/>
  <c r="B61" i="6"/>
  <c r="B58" i="6"/>
  <c r="B55" i="6"/>
  <c r="B52" i="6"/>
  <c r="B49" i="6"/>
  <c r="B46" i="6"/>
  <c r="B43" i="6"/>
  <c r="B40" i="6"/>
  <c r="B37" i="6"/>
  <c r="B34" i="6"/>
  <c r="B31" i="6"/>
  <c r="B28" i="6"/>
  <c r="B25" i="6"/>
  <c r="B22" i="6"/>
  <c r="B19" i="6"/>
  <c r="B16" i="6"/>
  <c r="B13" i="6"/>
  <c r="B10" i="6"/>
  <c r="B7" i="6"/>
  <c r="E132" i="9"/>
  <c r="E131" i="9"/>
  <c r="E130" i="9"/>
  <c r="E129" i="9"/>
  <c r="E113" i="9"/>
  <c r="E112" i="9"/>
  <c r="E108" i="9"/>
  <c r="E102" i="9"/>
  <c r="E98" i="9"/>
  <c r="E92" i="9"/>
  <c r="E91" i="9"/>
  <c r="E76" i="9"/>
  <c r="E68" i="9"/>
  <c r="E54" i="9"/>
  <c r="E52" i="9"/>
  <c r="E50" i="9"/>
  <c r="E45" i="9"/>
  <c r="E44" i="9"/>
  <c r="E41" i="9"/>
  <c r="E36" i="9"/>
  <c r="E30" i="9"/>
  <c r="E9" i="9"/>
  <c r="E101" i="12"/>
  <c r="E100" i="12"/>
  <c r="E99" i="12"/>
  <c r="E98" i="12"/>
  <c r="E82" i="12"/>
  <c r="E81" i="12"/>
  <c r="E80" i="12"/>
  <c r="E78" i="12"/>
  <c r="E75" i="12"/>
  <c r="E71" i="12"/>
  <c r="E70" i="12"/>
  <c r="E56" i="12"/>
  <c r="E51" i="12"/>
  <c r="E41" i="12"/>
  <c r="E40" i="12"/>
  <c r="E39" i="12"/>
  <c r="E34" i="12"/>
  <c r="E33" i="12"/>
  <c r="E30" i="12"/>
  <c r="E26" i="12"/>
  <c r="E22" i="12"/>
  <c r="E9" i="12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9" i="4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8" i="3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9" i="1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10" i="1"/>
  <c r="E1018" i="23"/>
  <c r="E1017" i="23"/>
  <c r="E1016" i="23"/>
  <c r="E1015" i="23"/>
  <c r="E999" i="23"/>
  <c r="E998" i="23"/>
  <c r="E995" i="23"/>
  <c r="E989" i="23"/>
  <c r="E988" i="23"/>
  <c r="E985" i="23"/>
  <c r="E984" i="23"/>
  <c r="E981" i="23"/>
  <c r="E973" i="23"/>
  <c r="E960" i="23"/>
  <c r="E959" i="23"/>
  <c r="E958" i="23"/>
  <c r="E953" i="23"/>
  <c r="E952" i="23"/>
  <c r="E950" i="23"/>
  <c r="E949" i="23"/>
  <c r="E943" i="23"/>
  <c r="E931" i="23"/>
  <c r="E920" i="23"/>
  <c r="E919" i="23"/>
  <c r="E918" i="23"/>
  <c r="E917" i="23"/>
  <c r="E901" i="23"/>
  <c r="E900" i="23"/>
  <c r="E899" i="23"/>
  <c r="E897" i="23"/>
  <c r="E894" i="23"/>
  <c r="E890" i="23"/>
  <c r="E889" i="23"/>
  <c r="E875" i="23"/>
  <c r="E870" i="23"/>
  <c r="E860" i="23"/>
  <c r="E859" i="23"/>
  <c r="E858" i="23"/>
  <c r="E853" i="23"/>
  <c r="E852" i="23"/>
  <c r="E849" i="23"/>
  <c r="E845" i="23"/>
  <c r="E841" i="23"/>
  <c r="E828" i="23"/>
  <c r="E817" i="23"/>
  <c r="E816" i="23"/>
  <c r="E815" i="23"/>
  <c r="E814" i="23"/>
  <c r="E798" i="23"/>
  <c r="E797" i="23"/>
  <c r="E796" i="23"/>
  <c r="E794" i="23"/>
  <c r="E791" i="23"/>
  <c r="E787" i="23"/>
  <c r="E786" i="23"/>
  <c r="E772" i="23"/>
  <c r="E767" i="23"/>
  <c r="E757" i="23"/>
  <c r="E756" i="23"/>
  <c r="E755" i="23"/>
  <c r="E750" i="23"/>
  <c r="E749" i="23"/>
  <c r="E746" i="23"/>
  <c r="E742" i="23"/>
  <c r="E738" i="23"/>
  <c r="E725" i="23"/>
  <c r="E714" i="23"/>
  <c r="E713" i="23"/>
  <c r="E712" i="23"/>
  <c r="E711" i="23"/>
  <c r="E695" i="23"/>
  <c r="E694" i="23"/>
  <c r="E693" i="23"/>
  <c r="E691" i="23"/>
  <c r="E688" i="23"/>
  <c r="E684" i="23"/>
  <c r="E683" i="23"/>
  <c r="E669" i="23"/>
  <c r="E664" i="23"/>
  <c r="E654" i="23"/>
  <c r="E653" i="23"/>
  <c r="E652" i="23"/>
  <c r="E647" i="23"/>
  <c r="E646" i="23"/>
  <c r="E643" i="23"/>
  <c r="E639" i="23"/>
  <c r="E635" i="23"/>
  <c r="E622" i="23"/>
  <c r="E611" i="23"/>
  <c r="E610" i="23"/>
  <c r="E609" i="23"/>
  <c r="E608" i="23"/>
  <c r="E592" i="23"/>
  <c r="E591" i="23"/>
  <c r="E590" i="23"/>
  <c r="E588" i="23"/>
  <c r="E585" i="23"/>
  <c r="E581" i="23"/>
  <c r="E580" i="23"/>
  <c r="E566" i="23"/>
  <c r="E561" i="23"/>
  <c r="E551" i="23"/>
  <c r="E550" i="23"/>
  <c r="E549" i="23"/>
  <c r="E544" i="23"/>
  <c r="E543" i="23"/>
  <c r="E540" i="23"/>
  <c r="E536" i="23"/>
  <c r="E532" i="23"/>
  <c r="E519" i="23"/>
  <c r="E508" i="23"/>
  <c r="E507" i="23"/>
  <c r="E506" i="23"/>
  <c r="E505" i="23"/>
  <c r="E489" i="23"/>
  <c r="E488" i="23"/>
  <c r="E487" i="23"/>
  <c r="E485" i="23"/>
  <c r="E482" i="23"/>
  <c r="E478" i="23"/>
  <c r="E477" i="23"/>
  <c r="E463" i="23"/>
  <c r="E458" i="23"/>
  <c r="E448" i="23"/>
  <c r="E447" i="23"/>
  <c r="E446" i="23"/>
  <c r="E441" i="23"/>
  <c r="E440" i="23"/>
  <c r="E437" i="23"/>
  <c r="E433" i="23"/>
  <c r="E429" i="23"/>
  <c r="E416" i="23"/>
  <c r="E405" i="23"/>
  <c r="E404" i="23"/>
  <c r="E403" i="23"/>
  <c r="E402" i="23"/>
  <c r="E386" i="23"/>
  <c r="E385" i="23"/>
  <c r="E384" i="23"/>
  <c r="E382" i="23"/>
  <c r="E379" i="23"/>
  <c r="E375" i="23"/>
  <c r="E374" i="23"/>
  <c r="E360" i="23"/>
  <c r="E355" i="23"/>
  <c r="E345" i="23"/>
  <c r="E344" i="23"/>
  <c r="E343" i="23"/>
  <c r="E338" i="23"/>
  <c r="E337" i="23"/>
  <c r="E334" i="23"/>
  <c r="E330" i="23"/>
  <c r="E326" i="23"/>
  <c r="E313" i="23"/>
  <c r="E302" i="23"/>
  <c r="E301" i="23"/>
  <c r="E300" i="23"/>
  <c r="E299" i="23"/>
  <c r="E283" i="23"/>
  <c r="E282" i="23"/>
  <c r="E281" i="23"/>
  <c r="E279" i="23"/>
  <c r="E276" i="23"/>
  <c r="E272" i="23"/>
  <c r="E271" i="23"/>
  <c r="E257" i="23"/>
  <c r="E252" i="23"/>
  <c r="E242" i="23"/>
  <c r="E241" i="23"/>
  <c r="E240" i="23"/>
  <c r="E235" i="23"/>
  <c r="E234" i="23"/>
  <c r="E231" i="23"/>
  <c r="E227" i="23"/>
  <c r="E223" i="23"/>
  <c r="E210" i="23"/>
  <c r="E199" i="23"/>
  <c r="E198" i="23"/>
  <c r="E197" i="23"/>
  <c r="E196" i="23"/>
  <c r="E180" i="23"/>
  <c r="E179" i="23"/>
  <c r="E178" i="23"/>
  <c r="E176" i="23"/>
  <c r="E173" i="23"/>
  <c r="E169" i="23"/>
  <c r="E168" i="23"/>
  <c r="E154" i="23"/>
  <c r="E149" i="23"/>
  <c r="E139" i="23"/>
  <c r="E138" i="23"/>
  <c r="E137" i="23"/>
  <c r="E132" i="23"/>
  <c r="E131" i="23"/>
  <c r="E128" i="23"/>
  <c r="E124" i="23"/>
  <c r="E120" i="23"/>
  <c r="E107" i="23"/>
  <c r="E95" i="23"/>
  <c r="E94" i="23"/>
  <c r="E93" i="23"/>
  <c r="E92" i="23"/>
  <c r="E76" i="23"/>
  <c r="E75" i="23"/>
  <c r="E74" i="23"/>
  <c r="E72" i="23"/>
  <c r="E69" i="23"/>
  <c r="E65" i="23"/>
  <c r="E64" i="23"/>
  <c r="E50" i="23"/>
  <c r="E45" i="23"/>
  <c r="E35" i="23"/>
  <c r="E34" i="23"/>
  <c r="E33" i="23"/>
  <c r="E28" i="23"/>
  <c r="E27" i="23"/>
  <c r="E24" i="23"/>
  <c r="E20" i="23"/>
  <c r="E16" i="23"/>
  <c r="E3" i="23"/>
  <c r="B66" i="20"/>
  <c r="B63" i="20"/>
  <c r="B60" i="20"/>
  <c r="B57" i="20"/>
  <c r="B54" i="20"/>
  <c r="B51" i="20"/>
  <c r="B48" i="20"/>
  <c r="B45" i="20"/>
  <c r="B42" i="20"/>
  <c r="B39" i="20"/>
  <c r="B36" i="20"/>
  <c r="B33" i="20"/>
  <c r="B30" i="20"/>
  <c r="B27" i="20"/>
  <c r="B24" i="20"/>
  <c r="B21" i="20"/>
  <c r="B18" i="20"/>
  <c r="B15" i="20"/>
  <c r="B12" i="20"/>
  <c r="B9" i="20"/>
  <c r="B6" i="20"/>
  <c r="B3" i="20"/>
  <c r="D83" i="18"/>
  <c r="E36" i="18" s="1"/>
  <c r="B69" i="20" l="1"/>
  <c r="AL112" i="9"/>
  <c r="AL108" i="9"/>
  <c r="AL91" i="9"/>
  <c r="AL52" i="9"/>
  <c r="AL44" i="9"/>
  <c r="AL50" i="9"/>
  <c r="L30" i="9"/>
  <c r="AL131" i="9"/>
  <c r="AL130" i="9"/>
  <c r="AL129" i="9"/>
  <c r="F54" i="10"/>
  <c r="C53" i="10"/>
  <c r="D53" i="10"/>
  <c r="E53" i="10"/>
  <c r="F53" i="10"/>
  <c r="G53" i="10"/>
  <c r="N52" i="10"/>
  <c r="G27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6" i="15"/>
  <c r="N32" i="10"/>
  <c r="N33" i="10"/>
  <c r="N34" i="10"/>
  <c r="N35" i="10"/>
  <c r="N36" i="10"/>
  <c r="N37" i="10"/>
  <c r="N38" i="10"/>
  <c r="N39" i="10"/>
  <c r="N40" i="10"/>
  <c r="N41" i="10"/>
  <c r="N42" i="10"/>
  <c r="N43" i="10"/>
  <c r="N44" i="10"/>
  <c r="N45" i="10"/>
  <c r="N46" i="10"/>
  <c r="N47" i="10"/>
  <c r="N48" i="10"/>
  <c r="N49" i="10"/>
  <c r="N50" i="10"/>
  <c r="N51" i="10"/>
  <c r="N31" i="10"/>
  <c r="K99" i="25"/>
  <c r="L99" i="25"/>
  <c r="M99" i="25"/>
  <c r="L16" i="1"/>
  <c r="P16" i="1"/>
  <c r="O16" i="1"/>
  <c r="N16" i="1"/>
  <c r="M16" i="1"/>
  <c r="E16" i="1"/>
  <c r="E39" i="1" l="1"/>
  <c r="E38" i="1"/>
  <c r="E37" i="1"/>
  <c r="E36" i="1"/>
  <c r="D12" i="26"/>
  <c r="D13" i="26"/>
  <c r="D14" i="26"/>
  <c r="D15" i="26"/>
  <c r="D16" i="26"/>
  <c r="D17" i="26"/>
  <c r="D18" i="26"/>
  <c r="D19" i="26"/>
  <c r="D20" i="26"/>
  <c r="D21" i="26"/>
  <c r="D22" i="26"/>
  <c r="D23" i="26"/>
  <c r="D24" i="26"/>
  <c r="D25" i="26"/>
  <c r="D26" i="26"/>
  <c r="D27" i="26"/>
  <c r="D28" i="26"/>
  <c r="D29" i="26"/>
  <c r="D30" i="26"/>
  <c r="D31" i="26"/>
  <c r="D32" i="26"/>
  <c r="D33" i="26"/>
  <c r="D34" i="26"/>
  <c r="D35" i="26"/>
  <c r="D36" i="26"/>
  <c r="D37" i="26"/>
  <c r="D38" i="26"/>
  <c r="D39" i="26"/>
  <c r="D40" i="26"/>
  <c r="D41" i="26"/>
  <c r="D42" i="26"/>
  <c r="D43" i="26"/>
  <c r="D44" i="26"/>
  <c r="D45" i="26"/>
  <c r="D46" i="26"/>
  <c r="D47" i="26"/>
  <c r="D48" i="26"/>
  <c r="D49" i="26"/>
  <c r="D50" i="26"/>
  <c r="D51" i="26"/>
  <c r="D52" i="26"/>
  <c r="D53" i="26"/>
  <c r="D54" i="26"/>
  <c r="D55" i="26"/>
  <c r="D56" i="26"/>
  <c r="D57" i="26"/>
  <c r="D58" i="26"/>
  <c r="D59" i="26"/>
  <c r="D60" i="26"/>
  <c r="D61" i="26"/>
  <c r="D62" i="26"/>
  <c r="D63" i="26"/>
  <c r="D64" i="26"/>
  <c r="D65" i="26"/>
  <c r="D66" i="26"/>
  <c r="D67" i="26"/>
  <c r="D68" i="26"/>
  <c r="D69" i="26"/>
  <c r="D70" i="26"/>
  <c r="D71" i="26"/>
  <c r="D72" i="26"/>
  <c r="D73" i="26"/>
  <c r="D74" i="26"/>
  <c r="D75" i="26"/>
  <c r="D76" i="26"/>
  <c r="D77" i="26"/>
  <c r="D78" i="26"/>
  <c r="D79" i="26"/>
  <c r="D80" i="26"/>
  <c r="D81" i="26"/>
  <c r="D82" i="26"/>
  <c r="D83" i="26"/>
  <c r="D84" i="26"/>
  <c r="D85" i="26"/>
  <c r="D86" i="26"/>
  <c r="D87" i="26"/>
  <c r="D88" i="26"/>
  <c r="D89" i="26"/>
  <c r="D90" i="26"/>
  <c r="D91" i="26"/>
  <c r="D92" i="26"/>
  <c r="D93" i="26"/>
  <c r="D94" i="26"/>
  <c r="D95" i="26"/>
  <c r="D96" i="26"/>
  <c r="D97" i="26"/>
  <c r="D98" i="26"/>
  <c r="D99" i="26"/>
  <c r="D100" i="26"/>
  <c r="D101" i="26"/>
  <c r="D102" i="26"/>
  <c r="D103" i="26"/>
  <c r="D104" i="26"/>
  <c r="D105" i="26"/>
  <c r="D106" i="26"/>
  <c r="D107" i="26"/>
  <c r="D108" i="26"/>
  <c r="D109" i="26"/>
  <c r="D110" i="26"/>
  <c r="D111" i="26"/>
  <c r="D112" i="26"/>
  <c r="D113" i="26"/>
  <c r="D114" i="26"/>
  <c r="D115" i="26"/>
  <c r="D116" i="26"/>
  <c r="D117" i="26"/>
  <c r="D118" i="26"/>
  <c r="D119" i="26"/>
  <c r="D120" i="26"/>
  <c r="D121" i="26"/>
  <c r="D122" i="26"/>
  <c r="D123" i="26"/>
  <c r="D124" i="26"/>
  <c r="D125" i="26"/>
  <c r="D126" i="26"/>
  <c r="D127" i="26"/>
  <c r="D128" i="26"/>
  <c r="D129" i="26"/>
  <c r="D130" i="26"/>
  <c r="D131" i="26"/>
  <c r="D132" i="26"/>
  <c r="D133" i="26"/>
  <c r="D11" i="26"/>
  <c r="F27" i="31"/>
  <c r="F26" i="31"/>
  <c r="F25" i="31"/>
  <c r="F24" i="31"/>
  <c r="F23" i="31"/>
  <c r="F22" i="31"/>
  <c r="F21" i="31"/>
  <c r="F20" i="31"/>
  <c r="F19" i="31"/>
  <c r="F18" i="31"/>
  <c r="F17" i="31"/>
  <c r="F16" i="31"/>
  <c r="F15" i="31"/>
  <c r="F14" i="31"/>
  <c r="F13" i="31"/>
  <c r="F12" i="31"/>
  <c r="F11" i="31"/>
  <c r="F10" i="31"/>
  <c r="F9" i="31"/>
  <c r="F8" i="31"/>
  <c r="F7" i="31"/>
  <c r="F6" i="31"/>
  <c r="G28" i="31" s="1"/>
  <c r="E40" i="1" l="1"/>
  <c r="D27" i="14"/>
  <c r="C57" i="10"/>
  <c r="C56" i="10"/>
  <c r="I9" i="30"/>
  <c r="I8" i="30"/>
  <c r="L7" i="14"/>
  <c r="L6" i="14"/>
  <c r="E45" i="1" l="1"/>
  <c r="E44" i="1"/>
  <c r="N126" i="25"/>
  <c r="N51" i="25"/>
  <c r="N38" i="25"/>
  <c r="N39" i="25"/>
  <c r="N40" i="25"/>
  <c r="M77" i="25" l="1"/>
  <c r="L77" i="25"/>
  <c r="K77" i="25"/>
  <c r="M60" i="25"/>
  <c r="L60" i="25"/>
  <c r="K60" i="25"/>
  <c r="M47" i="25"/>
  <c r="L47" i="25"/>
  <c r="K47" i="25"/>
  <c r="E27" i="29" l="1"/>
  <c r="H71" i="21"/>
  <c r="I71" i="21"/>
  <c r="J71" i="21"/>
  <c r="K71" i="21"/>
  <c r="L71" i="21"/>
  <c r="H72" i="21"/>
  <c r="I72" i="21"/>
  <c r="J72" i="21"/>
  <c r="K72" i="21"/>
  <c r="L72" i="21"/>
  <c r="H70" i="21"/>
  <c r="I70" i="21"/>
  <c r="J70" i="21"/>
  <c r="F27" i="29" s="1"/>
  <c r="K70" i="21"/>
  <c r="L70" i="21"/>
  <c r="T14" i="26"/>
  <c r="U14" i="26" s="1"/>
  <c r="I35" i="26" s="1"/>
  <c r="T30" i="26"/>
  <c r="U30" i="26" s="1"/>
  <c r="I116" i="26" s="1"/>
  <c r="S10" i="26"/>
  <c r="T10" i="26" s="1"/>
  <c r="U10" i="26" s="1"/>
  <c r="I14" i="26" s="1"/>
  <c r="S11" i="26"/>
  <c r="T11" i="26" s="1"/>
  <c r="U11" i="26" s="1"/>
  <c r="I23" i="26" s="1"/>
  <c r="S12" i="26"/>
  <c r="T12" i="26" s="1"/>
  <c r="U12" i="26" s="1"/>
  <c r="I29" i="26" s="1"/>
  <c r="S13" i="26"/>
  <c r="T13" i="26" s="1"/>
  <c r="U13" i="26" s="1"/>
  <c r="I32" i="26" s="1"/>
  <c r="S14" i="26"/>
  <c r="S15" i="26"/>
  <c r="T15" i="26" s="1"/>
  <c r="U15" i="26" s="1"/>
  <c r="I41" i="26" s="1"/>
  <c r="S16" i="26"/>
  <c r="T16" i="26" s="1"/>
  <c r="U16" i="26" s="1"/>
  <c r="I44" i="26" s="1"/>
  <c r="S17" i="26"/>
  <c r="T17" i="26" s="1"/>
  <c r="U17" i="26" s="1"/>
  <c r="I47" i="26" s="1"/>
  <c r="S18" i="26"/>
  <c r="T18" i="26" s="1"/>
  <c r="U18" i="26" s="1"/>
  <c r="I56" i="26" s="1"/>
  <c r="S19" i="26"/>
  <c r="T19" i="26" s="1"/>
  <c r="U19" i="26" s="1"/>
  <c r="I59" i="26" s="1"/>
  <c r="S20" i="26"/>
  <c r="T20" i="26" s="1"/>
  <c r="U20" i="26" s="1"/>
  <c r="I68" i="26" s="1"/>
  <c r="S21" i="26"/>
  <c r="T21" i="26" s="1"/>
  <c r="U21" i="26" s="1"/>
  <c r="I71" i="26" s="1"/>
  <c r="S22" i="26"/>
  <c r="T22" i="26" s="1"/>
  <c r="U22" i="26" s="1"/>
  <c r="I77" i="26" s="1"/>
  <c r="S23" i="26"/>
  <c r="T23" i="26" s="1"/>
  <c r="U23" i="26" s="1"/>
  <c r="I83" i="26" s="1"/>
  <c r="S24" i="26"/>
  <c r="T24" i="26" s="1"/>
  <c r="U24" i="26" s="1"/>
  <c r="I86" i="26" s="1"/>
  <c r="S25" i="26"/>
  <c r="T25" i="26" s="1"/>
  <c r="U25" i="26" s="1"/>
  <c r="I95" i="26" s="1"/>
  <c r="S26" i="26"/>
  <c r="T26" i="26" s="1"/>
  <c r="U26" i="26" s="1"/>
  <c r="I98" i="26" s="1"/>
  <c r="S27" i="26"/>
  <c r="T27" i="26" s="1"/>
  <c r="U27" i="26" s="1"/>
  <c r="I101" i="26" s="1"/>
  <c r="S28" i="26"/>
  <c r="T28" i="26" s="1"/>
  <c r="U28" i="26" s="1"/>
  <c r="I110" i="26" s="1"/>
  <c r="S29" i="26"/>
  <c r="T29" i="26" s="1"/>
  <c r="U29" i="26" s="1"/>
  <c r="I113" i="26" s="1"/>
  <c r="S30" i="26"/>
  <c r="S9" i="26"/>
  <c r="T9" i="26" s="1"/>
  <c r="U9" i="26" s="1"/>
  <c r="I11" i="26" s="1"/>
  <c r="C51" i="26"/>
  <c r="C64" i="26"/>
  <c r="C87" i="26"/>
  <c r="C88" i="26"/>
  <c r="C95" i="26"/>
  <c r="N133" i="25"/>
  <c r="C133" i="26" s="1"/>
  <c r="N132" i="25"/>
  <c r="C132" i="26" s="1"/>
  <c r="N131" i="25"/>
  <c r="C131" i="26" s="1"/>
  <c r="N130" i="25"/>
  <c r="C130" i="26" s="1"/>
  <c r="N129" i="25"/>
  <c r="C129" i="26" s="1"/>
  <c r="N128" i="25"/>
  <c r="C128" i="26" s="1"/>
  <c r="N127" i="25"/>
  <c r="C127" i="26" s="1"/>
  <c r="C126" i="26"/>
  <c r="N125" i="25"/>
  <c r="C125" i="26" s="1"/>
  <c r="N124" i="25"/>
  <c r="C124" i="26" s="1"/>
  <c r="N123" i="25"/>
  <c r="C123" i="26" s="1"/>
  <c r="N122" i="25"/>
  <c r="C122" i="26" s="1"/>
  <c r="N121" i="25"/>
  <c r="C121" i="26" s="1"/>
  <c r="N120" i="25"/>
  <c r="C120" i="26" s="1"/>
  <c r="N119" i="25"/>
  <c r="C119" i="26" s="1"/>
  <c r="N118" i="25"/>
  <c r="C118" i="26" s="1"/>
  <c r="N117" i="25"/>
  <c r="C117" i="26" s="1"/>
  <c r="N116" i="25"/>
  <c r="C116" i="26" s="1"/>
  <c r="E116" i="26" s="1"/>
  <c r="N115" i="25"/>
  <c r="C115" i="26" s="1"/>
  <c r="N114" i="25"/>
  <c r="C114" i="26" s="1"/>
  <c r="N113" i="25"/>
  <c r="C113" i="26" s="1"/>
  <c r="N112" i="25"/>
  <c r="C112" i="26" s="1"/>
  <c r="N111" i="25"/>
  <c r="C111" i="26" s="1"/>
  <c r="N110" i="25"/>
  <c r="C110" i="26" s="1"/>
  <c r="N109" i="25"/>
  <c r="C109" i="26" s="1"/>
  <c r="N108" i="25"/>
  <c r="C108" i="26" s="1"/>
  <c r="N107" i="25"/>
  <c r="C107" i="26" s="1"/>
  <c r="N106" i="25"/>
  <c r="C106" i="26" s="1"/>
  <c r="N105" i="25"/>
  <c r="C105" i="26" s="1"/>
  <c r="N104" i="25"/>
  <c r="C104" i="26" s="1"/>
  <c r="N103" i="25"/>
  <c r="C103" i="26" s="1"/>
  <c r="N102" i="25"/>
  <c r="C102" i="26" s="1"/>
  <c r="N101" i="25"/>
  <c r="C101" i="26" s="1"/>
  <c r="N100" i="25"/>
  <c r="C100" i="26" s="1"/>
  <c r="N99" i="25"/>
  <c r="C99" i="26" s="1"/>
  <c r="N98" i="25"/>
  <c r="C98" i="26" s="1"/>
  <c r="N97" i="25"/>
  <c r="C97" i="26" s="1"/>
  <c r="N96" i="25"/>
  <c r="C96" i="26" s="1"/>
  <c r="N95" i="25"/>
  <c r="N94" i="25"/>
  <c r="C94" i="26" s="1"/>
  <c r="N93" i="25"/>
  <c r="C93" i="26" s="1"/>
  <c r="N92" i="25"/>
  <c r="C92" i="26" s="1"/>
  <c r="N91" i="25"/>
  <c r="C91" i="26" s="1"/>
  <c r="N90" i="25"/>
  <c r="C90" i="26" s="1"/>
  <c r="N89" i="25"/>
  <c r="C89" i="26" s="1"/>
  <c r="N88" i="25"/>
  <c r="N87" i="25"/>
  <c r="N86" i="25"/>
  <c r="C86" i="26" s="1"/>
  <c r="N85" i="25"/>
  <c r="C85" i="26" s="1"/>
  <c r="N84" i="25"/>
  <c r="C84" i="26" s="1"/>
  <c r="N83" i="25"/>
  <c r="C83" i="26" s="1"/>
  <c r="N82" i="25"/>
  <c r="C82" i="26" s="1"/>
  <c r="N81" i="25"/>
  <c r="C81" i="26" s="1"/>
  <c r="N80" i="25"/>
  <c r="C80" i="26" s="1"/>
  <c r="N79" i="25"/>
  <c r="C79" i="26" s="1"/>
  <c r="N78" i="25"/>
  <c r="C78" i="26" s="1"/>
  <c r="N77" i="25"/>
  <c r="C77" i="26" s="1"/>
  <c r="N76" i="25"/>
  <c r="C76" i="26" s="1"/>
  <c r="N75" i="25"/>
  <c r="C75" i="26" s="1"/>
  <c r="N74" i="25"/>
  <c r="C74" i="26" s="1"/>
  <c r="N73" i="25"/>
  <c r="C73" i="26" s="1"/>
  <c r="N72" i="25"/>
  <c r="C72" i="26" s="1"/>
  <c r="N71" i="25"/>
  <c r="C71" i="26" s="1"/>
  <c r="N70" i="25"/>
  <c r="C70" i="26" s="1"/>
  <c r="N69" i="25"/>
  <c r="C69" i="26" s="1"/>
  <c r="N68" i="25"/>
  <c r="C68" i="26" s="1"/>
  <c r="N67" i="25"/>
  <c r="C67" i="26" s="1"/>
  <c r="N66" i="25"/>
  <c r="C66" i="26" s="1"/>
  <c r="N65" i="25"/>
  <c r="C65" i="26" s="1"/>
  <c r="N64" i="25"/>
  <c r="N63" i="25"/>
  <c r="C63" i="26" s="1"/>
  <c r="N62" i="25"/>
  <c r="C62" i="26" s="1"/>
  <c r="N61" i="25"/>
  <c r="C61" i="26" s="1"/>
  <c r="N60" i="25"/>
  <c r="C60" i="26" s="1"/>
  <c r="N59" i="25"/>
  <c r="C59" i="26" s="1"/>
  <c r="N58" i="25"/>
  <c r="C58" i="26" s="1"/>
  <c r="N57" i="25"/>
  <c r="C57" i="26" s="1"/>
  <c r="N56" i="25"/>
  <c r="C56" i="26" s="1"/>
  <c r="N55" i="25"/>
  <c r="C55" i="26" s="1"/>
  <c r="N54" i="25"/>
  <c r="C54" i="26" s="1"/>
  <c r="N53" i="25"/>
  <c r="C53" i="26" s="1"/>
  <c r="N52" i="25"/>
  <c r="C52" i="26" s="1"/>
  <c r="N50" i="25"/>
  <c r="C50" i="26" s="1"/>
  <c r="N49" i="25"/>
  <c r="C49" i="26" s="1"/>
  <c r="N48" i="25"/>
  <c r="C48" i="26" s="1"/>
  <c r="N47" i="25"/>
  <c r="C47" i="26" s="1"/>
  <c r="N46" i="25"/>
  <c r="C46" i="26" s="1"/>
  <c r="N45" i="25"/>
  <c r="C45" i="26" s="1"/>
  <c r="N44" i="25"/>
  <c r="C44" i="26" s="1"/>
  <c r="N43" i="25"/>
  <c r="C43" i="26" s="1"/>
  <c r="N42" i="25"/>
  <c r="C42" i="26" s="1"/>
  <c r="N41" i="25"/>
  <c r="C41" i="26" s="1"/>
  <c r="C40" i="26"/>
  <c r="C39" i="26"/>
  <c r="C38" i="26"/>
  <c r="N37" i="25"/>
  <c r="C37" i="26" s="1"/>
  <c r="N36" i="25"/>
  <c r="C36" i="26" s="1"/>
  <c r="N35" i="25"/>
  <c r="C35" i="26" s="1"/>
  <c r="N34" i="25"/>
  <c r="C34" i="26" s="1"/>
  <c r="N33" i="25"/>
  <c r="C33" i="26" s="1"/>
  <c r="N32" i="25"/>
  <c r="C32" i="26" s="1"/>
  <c r="N31" i="25"/>
  <c r="C31" i="26" s="1"/>
  <c r="N30" i="25"/>
  <c r="C30" i="26" s="1"/>
  <c r="N29" i="25"/>
  <c r="C29" i="26" s="1"/>
  <c r="N28" i="25"/>
  <c r="C28" i="26" s="1"/>
  <c r="N27" i="25"/>
  <c r="C27" i="26" s="1"/>
  <c r="N26" i="25"/>
  <c r="C26" i="26" s="1"/>
  <c r="N25" i="25"/>
  <c r="C25" i="26" s="1"/>
  <c r="N24" i="25"/>
  <c r="C24" i="26" s="1"/>
  <c r="N23" i="25"/>
  <c r="C23" i="26" s="1"/>
  <c r="N22" i="25"/>
  <c r="C22" i="26" s="1"/>
  <c r="N21" i="25"/>
  <c r="C21" i="26" s="1"/>
  <c r="N20" i="25"/>
  <c r="C20" i="26" s="1"/>
  <c r="N19" i="25"/>
  <c r="C19" i="26" s="1"/>
  <c r="N18" i="25"/>
  <c r="C18" i="26" s="1"/>
  <c r="N17" i="25"/>
  <c r="C17" i="26" s="1"/>
  <c r="N16" i="25"/>
  <c r="C16" i="26" s="1"/>
  <c r="N15" i="25"/>
  <c r="C15" i="26" s="1"/>
  <c r="N14" i="25"/>
  <c r="C14" i="26" s="1"/>
  <c r="N13" i="25"/>
  <c r="C13" i="26" s="1"/>
  <c r="N12" i="25"/>
  <c r="C12" i="26" s="1"/>
  <c r="N11" i="25"/>
  <c r="C11" i="26" s="1"/>
  <c r="G35" i="29" l="1"/>
  <c r="F22" i="10" s="1"/>
  <c r="D27" i="29"/>
  <c r="E35" i="29"/>
  <c r="F20" i="10" s="1"/>
  <c r="F35" i="29"/>
  <c r="F21" i="10" s="1"/>
  <c r="H35" i="29"/>
  <c r="F23" i="10" s="1"/>
  <c r="G27" i="29"/>
  <c r="D35" i="29"/>
  <c r="F19" i="10" s="1"/>
  <c r="E26" i="29"/>
  <c r="E11" i="29" s="1"/>
  <c r="E20" i="10" s="1"/>
  <c r="D26" i="29"/>
  <c r="H26" i="29"/>
  <c r="H27" i="29"/>
  <c r="G26" i="29"/>
  <c r="F26" i="29"/>
  <c r="F11" i="29" s="1"/>
  <c r="E21" i="10" s="1"/>
  <c r="E133" i="26"/>
  <c r="E109" i="26"/>
  <c r="E61" i="26"/>
  <c r="E132" i="26"/>
  <c r="E124" i="26"/>
  <c r="E108" i="26"/>
  <c r="E92" i="26"/>
  <c r="E60" i="26"/>
  <c r="E28" i="26"/>
  <c r="E117" i="26"/>
  <c r="E101" i="26"/>
  <c r="E77" i="26"/>
  <c r="E125" i="26"/>
  <c r="E93" i="26"/>
  <c r="E126" i="26"/>
  <c r="E118" i="26"/>
  <c r="E110" i="26"/>
  <c r="E102" i="26"/>
  <c r="E94" i="26"/>
  <c r="E78" i="26"/>
  <c r="E62" i="26"/>
  <c r="E123" i="26"/>
  <c r="E91" i="26"/>
  <c r="E67" i="26"/>
  <c r="E59" i="26"/>
  <c r="E127" i="26"/>
  <c r="E119" i="26"/>
  <c r="E111" i="26"/>
  <c r="E103" i="26"/>
  <c r="E95" i="26"/>
  <c r="E87" i="26"/>
  <c r="E79" i="26"/>
  <c r="E63" i="26"/>
  <c r="E107" i="26"/>
  <c r="E130" i="26"/>
  <c r="E122" i="26"/>
  <c r="E114" i="26"/>
  <c r="E106" i="26"/>
  <c r="E90" i="26"/>
  <c r="E82" i="26"/>
  <c r="E66" i="26"/>
  <c r="E58" i="26"/>
  <c r="E26" i="26"/>
  <c r="E115" i="26"/>
  <c r="E27" i="26"/>
  <c r="E129" i="26"/>
  <c r="E121" i="26"/>
  <c r="E113" i="26"/>
  <c r="E105" i="26"/>
  <c r="E97" i="26"/>
  <c r="E89" i="26"/>
  <c r="E81" i="26"/>
  <c r="E65" i="26"/>
  <c r="E57" i="26"/>
  <c r="E25" i="26"/>
  <c r="E131" i="26"/>
  <c r="E128" i="26"/>
  <c r="E120" i="26"/>
  <c r="E112" i="26"/>
  <c r="E104" i="26"/>
  <c r="E96" i="26"/>
  <c r="E88" i="26"/>
  <c r="E80" i="26"/>
  <c r="E64" i="26"/>
  <c r="E24" i="26"/>
  <c r="F24" i="10" l="1"/>
  <c r="M44" i="10" s="1"/>
  <c r="G11" i="29"/>
  <c r="E22" i="10" s="1"/>
  <c r="D11" i="29"/>
  <c r="E19" i="10" s="1"/>
  <c r="H11" i="29"/>
  <c r="E23" i="10" s="1"/>
  <c r="M51" i="10"/>
  <c r="M31" i="10"/>
  <c r="M33" i="10"/>
  <c r="M41" i="10"/>
  <c r="M49" i="10"/>
  <c r="M39" i="10"/>
  <c r="M48" i="10"/>
  <c r="M34" i="10"/>
  <c r="M42" i="10"/>
  <c r="M50" i="10"/>
  <c r="M43" i="10"/>
  <c r="M32" i="10"/>
  <c r="M35" i="10"/>
  <c r="M36" i="10"/>
  <c r="M45" i="10"/>
  <c r="M47" i="10"/>
  <c r="M40" i="10"/>
  <c r="G102" i="26"/>
  <c r="G103" i="26" s="1"/>
  <c r="G77" i="26"/>
  <c r="G101" i="26"/>
  <c r="G96" i="26"/>
  <c r="G97" i="26" s="1"/>
  <c r="G95" i="26"/>
  <c r="G60" i="26"/>
  <c r="G61" i="26" s="1"/>
  <c r="G59" i="26"/>
  <c r="G78" i="26"/>
  <c r="G79" i="26" s="1"/>
  <c r="G111" i="26"/>
  <c r="G112" i="26" s="1"/>
  <c r="G110" i="26"/>
  <c r="G114" i="26"/>
  <c r="G115" i="26" s="1"/>
  <c r="G113" i="26"/>
  <c r="M46" i="10" l="1"/>
  <c r="M38" i="10"/>
  <c r="M37" i="10"/>
  <c r="M52" i="10"/>
  <c r="H95" i="26"/>
  <c r="J95" i="26"/>
  <c r="K95" i="26" s="1"/>
  <c r="H101" i="26"/>
  <c r="H110" i="26"/>
  <c r="H77" i="26"/>
  <c r="H59" i="26"/>
  <c r="H113" i="26"/>
  <c r="J113" i="26" l="1"/>
  <c r="K113" i="26" s="1"/>
  <c r="J101" i="26"/>
  <c r="K101" i="26" s="1"/>
  <c r="J110" i="26"/>
  <c r="K110" i="26" s="1"/>
  <c r="J77" i="26"/>
  <c r="K77" i="26" s="1"/>
  <c r="J59" i="26"/>
  <c r="K59" i="26" s="1"/>
  <c r="E100" i="26"/>
  <c r="E99" i="26"/>
  <c r="E98" i="26"/>
  <c r="E86" i="26"/>
  <c r="E85" i="26"/>
  <c r="E84" i="26"/>
  <c r="E83" i="26"/>
  <c r="E76" i="26"/>
  <c r="E75" i="26"/>
  <c r="E74" i="26"/>
  <c r="E73" i="26"/>
  <c r="E72" i="26"/>
  <c r="E71" i="26"/>
  <c r="E70" i="26"/>
  <c r="E69" i="26"/>
  <c r="E68" i="26"/>
  <c r="E56" i="26"/>
  <c r="E55" i="26"/>
  <c r="E54" i="26"/>
  <c r="E53" i="26"/>
  <c r="E52" i="26"/>
  <c r="E51" i="26"/>
  <c r="E50" i="26"/>
  <c r="E49" i="26"/>
  <c r="E48" i="26"/>
  <c r="E47" i="26"/>
  <c r="E46" i="26"/>
  <c r="E45" i="26"/>
  <c r="E44" i="26"/>
  <c r="E43" i="26"/>
  <c r="E42" i="26"/>
  <c r="E41" i="26"/>
  <c r="E40" i="26"/>
  <c r="E39" i="26"/>
  <c r="E38" i="26"/>
  <c r="E37" i="26"/>
  <c r="E36" i="26"/>
  <c r="E35" i="26"/>
  <c r="E34" i="26"/>
  <c r="E33" i="26"/>
  <c r="E32" i="26"/>
  <c r="E31" i="26"/>
  <c r="E30" i="26"/>
  <c r="E29" i="26"/>
  <c r="E23" i="26"/>
  <c r="E22" i="26"/>
  <c r="E21" i="26"/>
  <c r="E20" i="26"/>
  <c r="E19" i="26"/>
  <c r="E18" i="26"/>
  <c r="E17" i="26"/>
  <c r="E16" i="26"/>
  <c r="E15" i="26"/>
  <c r="E14" i="26"/>
  <c r="E13" i="26"/>
  <c r="E12" i="26"/>
  <c r="E11" i="26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O41" i="6"/>
  <c r="O42" i="6"/>
  <c r="O43" i="6"/>
  <c r="O44" i="6"/>
  <c r="O45" i="6"/>
  <c r="O46" i="6"/>
  <c r="O47" i="6"/>
  <c r="O48" i="6"/>
  <c r="O49" i="6"/>
  <c r="O50" i="6"/>
  <c r="O51" i="6"/>
  <c r="O52" i="6"/>
  <c r="O53" i="6"/>
  <c r="O54" i="6"/>
  <c r="O55" i="6"/>
  <c r="O56" i="6"/>
  <c r="O57" i="6"/>
  <c r="O58" i="6"/>
  <c r="O59" i="6"/>
  <c r="O60" i="6"/>
  <c r="O61" i="6"/>
  <c r="O62" i="6"/>
  <c r="O63" i="6"/>
  <c r="O64" i="6"/>
  <c r="O65" i="6"/>
  <c r="O66" i="6"/>
  <c r="O67" i="6"/>
  <c r="O68" i="6"/>
  <c r="O69" i="6"/>
  <c r="O70" i="6"/>
  <c r="O71" i="6"/>
  <c r="O72" i="6"/>
  <c r="O7" i="6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9" i="11"/>
  <c r="J3" i="23"/>
  <c r="L140" i="22"/>
  <c r="L132" i="22"/>
  <c r="L127" i="22"/>
  <c r="L121" i="22"/>
  <c r="L115" i="22"/>
  <c r="L105" i="22"/>
  <c r="L100" i="22"/>
  <c r="L94" i="22"/>
  <c r="L90" i="22"/>
  <c r="L85" i="22"/>
  <c r="L78" i="22"/>
  <c r="L73" i="22"/>
  <c r="L60" i="22"/>
  <c r="L55" i="22"/>
  <c r="L46" i="22"/>
  <c r="L42" i="22"/>
  <c r="L36" i="22"/>
  <c r="L30" i="22"/>
  <c r="L26" i="22"/>
  <c r="L22" i="22"/>
  <c r="L16" i="22"/>
  <c r="L8" i="22"/>
  <c r="I140" i="22"/>
  <c r="I132" i="22"/>
  <c r="I127" i="22"/>
  <c r="I121" i="22"/>
  <c r="I115" i="22"/>
  <c r="I105" i="22"/>
  <c r="I100" i="22"/>
  <c r="I94" i="22"/>
  <c r="I90" i="22"/>
  <c r="I85" i="22"/>
  <c r="I78" i="22"/>
  <c r="I73" i="22"/>
  <c r="I60" i="22"/>
  <c r="I55" i="22"/>
  <c r="I46" i="22"/>
  <c r="I42" i="22"/>
  <c r="I36" i="22"/>
  <c r="I30" i="22"/>
  <c r="I26" i="22"/>
  <c r="I22" i="22"/>
  <c r="I16" i="22"/>
  <c r="I8" i="22"/>
  <c r="F140" i="22"/>
  <c r="F132" i="22"/>
  <c r="F127" i="22"/>
  <c r="F121" i="22"/>
  <c r="F115" i="22"/>
  <c r="F105" i="22"/>
  <c r="F100" i="22"/>
  <c r="F94" i="22"/>
  <c r="F90" i="22"/>
  <c r="F85" i="22"/>
  <c r="F78" i="22"/>
  <c r="F73" i="22"/>
  <c r="F60" i="22"/>
  <c r="F55" i="22"/>
  <c r="F46" i="22"/>
  <c r="F42" i="22"/>
  <c r="F36" i="22"/>
  <c r="F30" i="22"/>
  <c r="F26" i="22"/>
  <c r="F22" i="22"/>
  <c r="F16" i="22"/>
  <c r="F8" i="22"/>
  <c r="C140" i="22"/>
  <c r="C132" i="22"/>
  <c r="C127" i="22"/>
  <c r="C121" i="22"/>
  <c r="C115" i="22"/>
  <c r="C105" i="22"/>
  <c r="C100" i="22"/>
  <c r="C94" i="22"/>
  <c r="C90" i="22"/>
  <c r="C85" i="22"/>
  <c r="C78" i="22"/>
  <c r="C73" i="22"/>
  <c r="C60" i="22"/>
  <c r="C55" i="22"/>
  <c r="C46" i="22"/>
  <c r="C42" i="22"/>
  <c r="C36" i="22"/>
  <c r="C30" i="22"/>
  <c r="C26" i="22"/>
  <c r="C22" i="22"/>
  <c r="C16" i="22"/>
  <c r="C8" i="22"/>
  <c r="M71" i="12"/>
  <c r="M72" i="12"/>
  <c r="M73" i="12"/>
  <c r="M74" i="12"/>
  <c r="M75" i="12"/>
  <c r="M76" i="12"/>
  <c r="M77" i="12"/>
  <c r="M78" i="12"/>
  <c r="M79" i="12"/>
  <c r="M80" i="12"/>
  <c r="M81" i="12"/>
  <c r="M82" i="12"/>
  <c r="M83" i="12"/>
  <c r="M84" i="12"/>
  <c r="M85" i="12"/>
  <c r="M86" i="12"/>
  <c r="M87" i="12"/>
  <c r="M88" i="12"/>
  <c r="M89" i="12"/>
  <c r="M90" i="12"/>
  <c r="M91" i="12"/>
  <c r="M92" i="12"/>
  <c r="M93" i="12"/>
  <c r="M94" i="12"/>
  <c r="M95" i="12"/>
  <c r="M96" i="12"/>
  <c r="M97" i="12"/>
  <c r="M98" i="12"/>
  <c r="M99" i="12"/>
  <c r="M100" i="12"/>
  <c r="M101" i="12"/>
  <c r="M102" i="12"/>
  <c r="M103" i="12"/>
  <c r="M104" i="12"/>
  <c r="M105" i="12"/>
  <c r="M106" i="12"/>
  <c r="M107" i="12"/>
  <c r="M108" i="12"/>
  <c r="M66" i="12"/>
  <c r="M67" i="12"/>
  <c r="M68" i="12"/>
  <c r="M70" i="12"/>
  <c r="M65" i="12"/>
  <c r="M33" i="12"/>
  <c r="M34" i="12"/>
  <c r="M35" i="12"/>
  <c r="M36" i="12"/>
  <c r="M37" i="12"/>
  <c r="M38" i="12"/>
  <c r="M39" i="12"/>
  <c r="M40" i="12"/>
  <c r="M41" i="12"/>
  <c r="M42" i="12"/>
  <c r="M43" i="12"/>
  <c r="M44" i="12"/>
  <c r="M45" i="12"/>
  <c r="M46" i="12"/>
  <c r="M47" i="12"/>
  <c r="M48" i="12"/>
  <c r="M49" i="12"/>
  <c r="M50" i="12"/>
  <c r="M51" i="12"/>
  <c r="M52" i="12"/>
  <c r="M53" i="12"/>
  <c r="M54" i="12"/>
  <c r="M55" i="12"/>
  <c r="M56" i="12"/>
  <c r="M57" i="12"/>
  <c r="M58" i="12"/>
  <c r="M59" i="12"/>
  <c r="M60" i="12"/>
  <c r="M61" i="12"/>
  <c r="M62" i="12"/>
  <c r="M63" i="12"/>
  <c r="M64" i="12"/>
  <c r="M11" i="12"/>
  <c r="M12" i="12"/>
  <c r="M13" i="12"/>
  <c r="M14" i="12"/>
  <c r="M15" i="12"/>
  <c r="M16" i="12"/>
  <c r="M17" i="12"/>
  <c r="M18" i="12"/>
  <c r="M19" i="12"/>
  <c r="M20" i="12"/>
  <c r="M21" i="12"/>
  <c r="M22" i="12"/>
  <c r="M23" i="12"/>
  <c r="M24" i="12"/>
  <c r="M25" i="12"/>
  <c r="M26" i="12"/>
  <c r="M27" i="12"/>
  <c r="M28" i="12"/>
  <c r="M29" i="12"/>
  <c r="M30" i="12"/>
  <c r="M31" i="12"/>
  <c r="M32" i="12"/>
  <c r="M10" i="12"/>
  <c r="M9" i="12"/>
  <c r="I146" i="9"/>
  <c r="I145" i="9"/>
  <c r="I144" i="9"/>
  <c r="I143" i="9"/>
  <c r="I142" i="9"/>
  <c r="I141" i="9"/>
  <c r="I140" i="9"/>
  <c r="I139" i="9"/>
  <c r="I137" i="9"/>
  <c r="I135" i="9"/>
  <c r="I130" i="9"/>
  <c r="I131" i="9"/>
  <c r="I129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15" i="9"/>
  <c r="I116" i="9"/>
  <c r="I113" i="9"/>
  <c r="I114" i="9"/>
  <c r="I112" i="9"/>
  <c r="I110" i="9"/>
  <c r="I111" i="9"/>
  <c r="I109" i="9"/>
  <c r="I103" i="9"/>
  <c r="I104" i="9"/>
  <c r="I105" i="9"/>
  <c r="I106" i="9"/>
  <c r="I107" i="9"/>
  <c r="I102" i="9"/>
  <c r="I96" i="9"/>
  <c r="I97" i="9"/>
  <c r="I95" i="9"/>
  <c r="I91" i="9"/>
  <c r="I90" i="9"/>
  <c r="I82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58" i="9"/>
  <c r="I57" i="9"/>
  <c r="I56" i="9"/>
  <c r="I54" i="9"/>
  <c r="I53" i="9"/>
  <c r="I51" i="9"/>
  <c r="I49" i="9"/>
  <c r="I48" i="9"/>
  <c r="I47" i="9"/>
  <c r="I46" i="9"/>
  <c r="I45" i="9"/>
  <c r="I44" i="9"/>
  <c r="I43" i="9"/>
  <c r="I42" i="9"/>
  <c r="I31" i="9"/>
  <c r="I32" i="9"/>
  <c r="I33" i="9"/>
  <c r="I34" i="9"/>
  <c r="I35" i="9"/>
  <c r="I30" i="9"/>
  <c r="I27" i="9"/>
  <c r="I28" i="9"/>
  <c r="I26" i="9"/>
  <c r="I12" i="9"/>
  <c r="I13" i="9"/>
  <c r="I14" i="9"/>
  <c r="I15" i="9"/>
  <c r="I16" i="9"/>
  <c r="I17" i="9"/>
  <c r="I18" i="9"/>
  <c r="I11" i="9"/>
  <c r="I9" i="9"/>
  <c r="H146" i="9"/>
  <c r="H145" i="9"/>
  <c r="H144" i="9"/>
  <c r="H143" i="9"/>
  <c r="H142" i="9"/>
  <c r="H141" i="9"/>
  <c r="H140" i="9"/>
  <c r="H139" i="9"/>
  <c r="H137" i="9"/>
  <c r="H135" i="9"/>
  <c r="H129" i="9"/>
  <c r="H130" i="9"/>
  <c r="H131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5" i="9"/>
  <c r="H126" i="9"/>
  <c r="H127" i="9"/>
  <c r="H128" i="9"/>
  <c r="H112" i="9"/>
  <c r="H110" i="9"/>
  <c r="H111" i="9"/>
  <c r="H109" i="9"/>
  <c r="H103" i="9"/>
  <c r="H104" i="9"/>
  <c r="H105" i="9"/>
  <c r="H106" i="9"/>
  <c r="H107" i="9"/>
  <c r="H102" i="9"/>
  <c r="H96" i="9"/>
  <c r="H97" i="9"/>
  <c r="H95" i="9"/>
  <c r="H91" i="9"/>
  <c r="G91" i="9"/>
  <c r="H90" i="9"/>
  <c r="H89" i="9"/>
  <c r="H82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56" i="9"/>
  <c r="H54" i="9"/>
  <c r="H53" i="9"/>
  <c r="H51" i="9"/>
  <c r="H45" i="9"/>
  <c r="H46" i="9"/>
  <c r="H47" i="9"/>
  <c r="H48" i="9"/>
  <c r="H49" i="9"/>
  <c r="H44" i="9"/>
  <c r="H43" i="9"/>
  <c r="H42" i="9"/>
  <c r="H31" i="9"/>
  <c r="H32" i="9"/>
  <c r="H33" i="9"/>
  <c r="H34" i="9"/>
  <c r="H35" i="9"/>
  <c r="H30" i="9"/>
  <c r="H27" i="9"/>
  <c r="H28" i="9"/>
  <c r="H26" i="9"/>
  <c r="H18" i="9"/>
  <c r="H17" i="9"/>
  <c r="H16" i="9"/>
  <c r="H15" i="9"/>
  <c r="H14" i="9"/>
  <c r="H12" i="9"/>
  <c r="H13" i="9"/>
  <c r="H11" i="9"/>
  <c r="H9" i="9"/>
  <c r="G146" i="9"/>
  <c r="G145" i="9"/>
  <c r="G144" i="9"/>
  <c r="G143" i="9"/>
  <c r="G137" i="9"/>
  <c r="G135" i="9"/>
  <c r="G142" i="9"/>
  <c r="G141" i="9"/>
  <c r="G139" i="9"/>
  <c r="G140" i="9"/>
  <c r="G129" i="9"/>
  <c r="G130" i="9"/>
  <c r="G131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14" i="9"/>
  <c r="G113" i="9"/>
  <c r="G112" i="9"/>
  <c r="G110" i="9"/>
  <c r="G111" i="9"/>
  <c r="G109" i="9"/>
  <c r="G103" i="9"/>
  <c r="G104" i="9"/>
  <c r="G105" i="9"/>
  <c r="G106" i="9"/>
  <c r="G107" i="9"/>
  <c r="G102" i="9"/>
  <c r="G97" i="9"/>
  <c r="G96" i="9"/>
  <c r="G95" i="9"/>
  <c r="G90" i="9"/>
  <c r="G82" i="9"/>
  <c r="G68" i="9"/>
  <c r="G69" i="9"/>
  <c r="G70" i="9"/>
  <c r="G71" i="9"/>
  <c r="G72" i="9"/>
  <c r="G73" i="9"/>
  <c r="G74" i="9"/>
  <c r="G75" i="9"/>
  <c r="G62" i="9"/>
  <c r="G63" i="9"/>
  <c r="G64" i="9"/>
  <c r="G65" i="9"/>
  <c r="G66" i="9"/>
  <c r="G67" i="9"/>
  <c r="G61" i="9"/>
  <c r="G60" i="9"/>
  <c r="G59" i="9"/>
  <c r="G58" i="9"/>
  <c r="G57" i="9"/>
  <c r="G56" i="9"/>
  <c r="G54" i="9"/>
  <c r="G53" i="9"/>
  <c r="G51" i="9"/>
  <c r="G46" i="9"/>
  <c r="G47" i="9"/>
  <c r="G48" i="9"/>
  <c r="G49" i="9"/>
  <c r="G45" i="9"/>
  <c r="G44" i="9"/>
  <c r="G43" i="9"/>
  <c r="G42" i="9"/>
  <c r="G31" i="9"/>
  <c r="G32" i="9"/>
  <c r="G33" i="9"/>
  <c r="G34" i="9"/>
  <c r="G35" i="9"/>
  <c r="G30" i="9"/>
  <c r="G28" i="9"/>
  <c r="G27" i="9"/>
  <c r="G18" i="9"/>
  <c r="G26" i="9"/>
  <c r="G17" i="9"/>
  <c r="G16" i="9"/>
  <c r="G15" i="9"/>
  <c r="G14" i="9"/>
  <c r="G13" i="9"/>
  <c r="G12" i="9"/>
  <c r="G11" i="9"/>
  <c r="G9" i="9"/>
  <c r="K1027" i="23"/>
  <c r="I1027" i="23"/>
  <c r="J1027" i="23" s="1"/>
  <c r="K1026" i="23"/>
  <c r="I1026" i="23"/>
  <c r="J1026" i="23" s="1"/>
  <c r="K1025" i="23"/>
  <c r="J1025" i="23"/>
  <c r="I1025" i="23"/>
  <c r="K1024" i="23"/>
  <c r="I1024" i="23"/>
  <c r="J1024" i="23" s="1"/>
  <c r="K1023" i="23"/>
  <c r="I1023" i="23"/>
  <c r="J1023" i="23" s="1"/>
  <c r="K1022" i="23"/>
  <c r="J1022" i="23"/>
  <c r="I1022" i="23"/>
  <c r="K1021" i="23"/>
  <c r="I1021" i="23"/>
  <c r="J1021" i="23" s="1"/>
  <c r="K1020" i="23"/>
  <c r="J1020" i="23"/>
  <c r="I1020" i="23"/>
  <c r="K1019" i="23"/>
  <c r="I1019" i="23"/>
  <c r="J1019" i="23" s="1"/>
  <c r="K1018" i="23"/>
  <c r="I1018" i="23"/>
  <c r="J1018" i="23" s="1"/>
  <c r="K1017" i="23"/>
  <c r="K1016" i="23"/>
  <c r="K1015" i="23"/>
  <c r="K1014" i="23"/>
  <c r="I1014" i="23"/>
  <c r="J1014" i="23" s="1"/>
  <c r="K1013" i="23"/>
  <c r="I1013" i="23"/>
  <c r="J1013" i="23" s="1"/>
  <c r="K1012" i="23"/>
  <c r="J1012" i="23"/>
  <c r="I1012" i="23"/>
  <c r="K1011" i="23"/>
  <c r="I1011" i="23"/>
  <c r="J1011" i="23" s="1"/>
  <c r="K1010" i="23"/>
  <c r="J1010" i="23"/>
  <c r="I1010" i="23"/>
  <c r="K1009" i="23"/>
  <c r="I1009" i="23"/>
  <c r="J1009" i="23" s="1"/>
  <c r="K1008" i="23"/>
  <c r="I1008" i="23"/>
  <c r="J1008" i="23" s="1"/>
  <c r="K1007" i="23"/>
  <c r="J1007" i="23"/>
  <c r="I1007" i="23"/>
  <c r="K1006" i="23"/>
  <c r="I1006" i="23"/>
  <c r="J1006" i="23" s="1"/>
  <c r="K1005" i="23"/>
  <c r="I1005" i="23"/>
  <c r="J1005" i="23" s="1"/>
  <c r="K1004" i="23"/>
  <c r="J1004" i="23"/>
  <c r="I1004" i="23"/>
  <c r="K1003" i="23"/>
  <c r="I1003" i="23"/>
  <c r="J1003" i="23" s="1"/>
  <c r="K1002" i="23"/>
  <c r="J1002" i="23"/>
  <c r="I1002" i="23"/>
  <c r="K1001" i="23"/>
  <c r="I1001" i="23"/>
  <c r="J1001" i="23" s="1"/>
  <c r="K1000" i="23"/>
  <c r="I1000" i="23"/>
  <c r="J1000" i="23" s="1"/>
  <c r="K999" i="23"/>
  <c r="J999" i="23"/>
  <c r="I999" i="23"/>
  <c r="K998" i="23"/>
  <c r="J998" i="23"/>
  <c r="K997" i="23"/>
  <c r="I997" i="23"/>
  <c r="J997" i="23" s="1"/>
  <c r="K996" i="23"/>
  <c r="J996" i="23"/>
  <c r="I996" i="23"/>
  <c r="K995" i="23"/>
  <c r="I995" i="23"/>
  <c r="J995" i="23" s="1"/>
  <c r="K994" i="23"/>
  <c r="I994" i="23"/>
  <c r="J994" i="23" s="1"/>
  <c r="K993" i="23"/>
  <c r="J993" i="23"/>
  <c r="I993" i="23"/>
  <c r="K992" i="23"/>
  <c r="I992" i="23"/>
  <c r="J992" i="23" s="1"/>
  <c r="K991" i="23"/>
  <c r="J991" i="23"/>
  <c r="I991" i="23"/>
  <c r="K990" i="23"/>
  <c r="I990" i="23"/>
  <c r="J990" i="23" s="1"/>
  <c r="K989" i="23"/>
  <c r="I989" i="23"/>
  <c r="J989" i="23" s="1"/>
  <c r="K988" i="23"/>
  <c r="J988" i="23"/>
  <c r="K987" i="23"/>
  <c r="I987" i="23"/>
  <c r="J987" i="23" s="1"/>
  <c r="K986" i="23"/>
  <c r="I986" i="23"/>
  <c r="J986" i="23" s="1"/>
  <c r="K985" i="23"/>
  <c r="J985" i="23"/>
  <c r="I985" i="23"/>
  <c r="K984" i="23"/>
  <c r="K983" i="23"/>
  <c r="I983" i="23"/>
  <c r="J983" i="23" s="1"/>
  <c r="K982" i="23"/>
  <c r="G89" i="9" s="1"/>
  <c r="I982" i="23"/>
  <c r="J982" i="23" s="1"/>
  <c r="I89" i="9" s="1"/>
  <c r="K981" i="23"/>
  <c r="I981" i="23"/>
  <c r="J981" i="23" s="1"/>
  <c r="K980" i="23"/>
  <c r="I980" i="23"/>
  <c r="J980" i="23" s="1"/>
  <c r="K979" i="23"/>
  <c r="J979" i="23"/>
  <c r="I979" i="23"/>
  <c r="K978" i="23"/>
  <c r="I978" i="23"/>
  <c r="J978" i="23" s="1"/>
  <c r="K977" i="23"/>
  <c r="I977" i="23"/>
  <c r="J977" i="23" s="1"/>
  <c r="K976" i="23"/>
  <c r="J976" i="23"/>
  <c r="I976" i="23"/>
  <c r="K975" i="23"/>
  <c r="I975" i="23"/>
  <c r="J975" i="23" s="1"/>
  <c r="K974" i="23"/>
  <c r="J974" i="23"/>
  <c r="I974" i="23"/>
  <c r="K973" i="23"/>
  <c r="I973" i="23"/>
  <c r="J973" i="23" s="1"/>
  <c r="K972" i="23"/>
  <c r="I972" i="23"/>
  <c r="J972" i="23" s="1"/>
  <c r="K971" i="23"/>
  <c r="J971" i="23"/>
  <c r="I971" i="23"/>
  <c r="K970" i="23"/>
  <c r="I970" i="23"/>
  <c r="J970" i="23" s="1"/>
  <c r="K969" i="23"/>
  <c r="I969" i="23"/>
  <c r="J969" i="23" s="1"/>
  <c r="K968" i="23"/>
  <c r="J968" i="23"/>
  <c r="I968" i="23"/>
  <c r="K967" i="23"/>
  <c r="I967" i="23"/>
  <c r="J967" i="23" s="1"/>
  <c r="K966" i="23"/>
  <c r="J966" i="23"/>
  <c r="I966" i="23"/>
  <c r="K965" i="23"/>
  <c r="I965" i="23"/>
  <c r="J965" i="23" s="1"/>
  <c r="K964" i="23"/>
  <c r="I964" i="23"/>
  <c r="J964" i="23" s="1"/>
  <c r="K963" i="23"/>
  <c r="J963" i="23"/>
  <c r="I963" i="23"/>
  <c r="K962" i="23"/>
  <c r="I962" i="23"/>
  <c r="J962" i="23" s="1"/>
  <c r="K961" i="23"/>
  <c r="I961" i="23"/>
  <c r="J961" i="23" s="1"/>
  <c r="K960" i="23"/>
  <c r="J960" i="23"/>
  <c r="I960" i="23"/>
  <c r="K959" i="23"/>
  <c r="I959" i="23"/>
  <c r="J959" i="23" s="1"/>
  <c r="K958" i="23"/>
  <c r="J958" i="23"/>
  <c r="I958" i="23"/>
  <c r="K957" i="23"/>
  <c r="I957" i="23"/>
  <c r="J957" i="23" s="1"/>
  <c r="K956" i="23"/>
  <c r="I956" i="23"/>
  <c r="J956" i="23" s="1"/>
  <c r="K955" i="23"/>
  <c r="J955" i="23"/>
  <c r="I955" i="23"/>
  <c r="K954" i="23"/>
  <c r="I954" i="23"/>
  <c r="J954" i="23" s="1"/>
  <c r="K953" i="23"/>
  <c r="I953" i="23"/>
  <c r="J953" i="23" s="1"/>
  <c r="K952" i="23"/>
  <c r="K951" i="23"/>
  <c r="I951" i="23"/>
  <c r="J951" i="23" s="1"/>
  <c r="K950" i="23"/>
  <c r="I950" i="23"/>
  <c r="J950" i="23" s="1"/>
  <c r="K949" i="23"/>
  <c r="J949" i="23"/>
  <c r="K948" i="23"/>
  <c r="I948" i="23"/>
  <c r="J948" i="23" s="1"/>
  <c r="K947" i="23"/>
  <c r="I947" i="23"/>
  <c r="J947" i="23" s="1"/>
  <c r="K946" i="23"/>
  <c r="J946" i="23"/>
  <c r="I946" i="23"/>
  <c r="K945" i="23"/>
  <c r="I945" i="23"/>
  <c r="J945" i="23" s="1"/>
  <c r="K944" i="23"/>
  <c r="I944" i="23"/>
  <c r="J944" i="23" s="1"/>
  <c r="K943" i="23"/>
  <c r="J943" i="23"/>
  <c r="I943" i="23"/>
  <c r="K942" i="23"/>
  <c r="I942" i="23"/>
  <c r="J942" i="23" s="1"/>
  <c r="K941" i="23"/>
  <c r="J941" i="23"/>
  <c r="I941" i="23"/>
  <c r="K940" i="23"/>
  <c r="I940" i="23"/>
  <c r="J940" i="23" s="1"/>
  <c r="K939" i="23"/>
  <c r="I939" i="23"/>
  <c r="J939" i="23" s="1"/>
  <c r="K938" i="23"/>
  <c r="J938" i="23"/>
  <c r="I938" i="23"/>
  <c r="K937" i="23"/>
  <c r="I937" i="23"/>
  <c r="J937" i="23" s="1"/>
  <c r="K936" i="23"/>
  <c r="I936" i="23"/>
  <c r="J936" i="23" s="1"/>
  <c r="K935" i="23"/>
  <c r="J935" i="23"/>
  <c r="I935" i="23"/>
  <c r="K934" i="23"/>
  <c r="K933" i="23"/>
  <c r="I933" i="23"/>
  <c r="J933" i="23" s="1"/>
  <c r="K932" i="23"/>
  <c r="K931" i="23"/>
  <c r="I931" i="23"/>
  <c r="J931" i="23" s="1"/>
  <c r="P139" i="9"/>
  <c r="P138" i="9"/>
  <c r="P136" i="9"/>
  <c r="P135" i="9"/>
  <c r="P134" i="9"/>
  <c r="P133" i="9"/>
  <c r="P132" i="9"/>
  <c r="P137" i="9"/>
  <c r="P113" i="9"/>
  <c r="P114" i="9"/>
  <c r="P115" i="9"/>
  <c r="P116" i="9"/>
  <c r="P117" i="9"/>
  <c r="P118" i="9"/>
  <c r="P119" i="9"/>
  <c r="P120" i="9"/>
  <c r="P121" i="9"/>
  <c r="P122" i="9"/>
  <c r="P123" i="9"/>
  <c r="P124" i="9"/>
  <c r="P125" i="9"/>
  <c r="P126" i="9"/>
  <c r="P127" i="9"/>
  <c r="P128" i="9"/>
  <c r="P129" i="9"/>
  <c r="P130" i="9"/>
  <c r="P131" i="9"/>
  <c r="P112" i="9"/>
  <c r="P108" i="9"/>
  <c r="P103" i="9"/>
  <c r="P102" i="9"/>
  <c r="P99" i="9"/>
  <c r="P100" i="9"/>
  <c r="P98" i="9"/>
  <c r="P92" i="9"/>
  <c r="P93" i="9"/>
  <c r="P94" i="9"/>
  <c r="P95" i="9"/>
  <c r="P91" i="9"/>
  <c r="P77" i="9"/>
  <c r="P78" i="9"/>
  <c r="P79" i="9"/>
  <c r="P80" i="9"/>
  <c r="P81" i="9"/>
  <c r="P82" i="9"/>
  <c r="P83" i="9"/>
  <c r="P84" i="9"/>
  <c r="P85" i="9"/>
  <c r="P86" i="9"/>
  <c r="P87" i="9"/>
  <c r="P88" i="9"/>
  <c r="P89" i="9"/>
  <c r="P76" i="9"/>
  <c r="P69" i="9"/>
  <c r="P70" i="9"/>
  <c r="P71" i="9"/>
  <c r="P72" i="9"/>
  <c r="P68" i="9"/>
  <c r="P56" i="9"/>
  <c r="P57" i="9"/>
  <c r="P58" i="9"/>
  <c r="P59" i="9"/>
  <c r="P60" i="9"/>
  <c r="P61" i="9"/>
  <c r="P62" i="9"/>
  <c r="P63" i="9"/>
  <c r="P55" i="9"/>
  <c r="P54" i="9"/>
  <c r="P52" i="9"/>
  <c r="P45" i="9"/>
  <c r="P46" i="9"/>
  <c r="P47" i="9"/>
  <c r="P48" i="9"/>
  <c r="P49" i="9"/>
  <c r="P50" i="9"/>
  <c r="P42" i="9"/>
  <c r="P43" i="9"/>
  <c r="P44" i="9"/>
  <c r="P41" i="9"/>
  <c r="P37" i="9"/>
  <c r="P38" i="9"/>
  <c r="P39" i="9"/>
  <c r="P36" i="9"/>
  <c r="P22" i="9"/>
  <c r="P23" i="9"/>
  <c r="P24" i="9"/>
  <c r="P25" i="9"/>
  <c r="P26" i="9"/>
  <c r="P27" i="9"/>
  <c r="P28" i="9"/>
  <c r="P29" i="9"/>
  <c r="P30" i="9"/>
  <c r="P31" i="9"/>
  <c r="P32" i="9"/>
  <c r="P33" i="9"/>
  <c r="P20" i="9"/>
  <c r="P21" i="9"/>
  <c r="P19" i="9"/>
  <c r="P10" i="9"/>
  <c r="P9" i="9"/>
  <c r="O139" i="9"/>
  <c r="O138" i="9"/>
  <c r="O136" i="9"/>
  <c r="O135" i="9"/>
  <c r="O134" i="9"/>
  <c r="O133" i="9"/>
  <c r="O132" i="9"/>
  <c r="O137" i="9"/>
  <c r="O113" i="9"/>
  <c r="O114" i="9"/>
  <c r="O115" i="9"/>
  <c r="O116" i="9"/>
  <c r="O117" i="9"/>
  <c r="O118" i="9"/>
  <c r="O119" i="9"/>
  <c r="O120" i="9"/>
  <c r="O121" i="9"/>
  <c r="O122" i="9"/>
  <c r="O123" i="9"/>
  <c r="O124" i="9"/>
  <c r="O125" i="9"/>
  <c r="O126" i="9"/>
  <c r="O127" i="9"/>
  <c r="O128" i="9"/>
  <c r="O129" i="9"/>
  <c r="O130" i="9"/>
  <c r="O131" i="9"/>
  <c r="O112" i="9"/>
  <c r="O108" i="9"/>
  <c r="O103" i="9"/>
  <c r="O102" i="9"/>
  <c r="O99" i="9"/>
  <c r="O100" i="9"/>
  <c r="O98" i="9"/>
  <c r="O92" i="9"/>
  <c r="O93" i="9"/>
  <c r="O94" i="9"/>
  <c r="O95" i="9"/>
  <c r="O91" i="9"/>
  <c r="O77" i="9"/>
  <c r="O78" i="9"/>
  <c r="O79" i="9"/>
  <c r="O80" i="9"/>
  <c r="O81" i="9"/>
  <c r="O82" i="9"/>
  <c r="O83" i="9"/>
  <c r="O84" i="9"/>
  <c r="O85" i="9"/>
  <c r="O86" i="9"/>
  <c r="O87" i="9"/>
  <c r="O88" i="9"/>
  <c r="O89" i="9"/>
  <c r="O76" i="9"/>
  <c r="O69" i="9"/>
  <c r="O70" i="9"/>
  <c r="O71" i="9"/>
  <c r="O72" i="9"/>
  <c r="O68" i="9"/>
  <c r="O55" i="9"/>
  <c r="O56" i="9"/>
  <c r="O57" i="9"/>
  <c r="O58" i="9"/>
  <c r="O59" i="9"/>
  <c r="O60" i="9"/>
  <c r="O61" i="9"/>
  <c r="O62" i="9"/>
  <c r="O63" i="9"/>
  <c r="O54" i="9"/>
  <c r="O52" i="9"/>
  <c r="O42" i="9"/>
  <c r="O43" i="9"/>
  <c r="O44" i="9"/>
  <c r="O45" i="9"/>
  <c r="O46" i="9"/>
  <c r="O47" i="9"/>
  <c r="O48" i="9"/>
  <c r="O49" i="9"/>
  <c r="O50" i="9"/>
  <c r="O41" i="9"/>
  <c r="O37" i="9"/>
  <c r="O38" i="9"/>
  <c r="O39" i="9"/>
  <c r="O36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20" i="9"/>
  <c r="O19" i="9"/>
  <c r="O10" i="9"/>
  <c r="O9" i="9"/>
  <c r="N139" i="9"/>
  <c r="N138" i="9"/>
  <c r="N137" i="9"/>
  <c r="N136" i="9"/>
  <c r="N135" i="9"/>
  <c r="N134" i="9"/>
  <c r="N133" i="9"/>
  <c r="N132" i="9"/>
  <c r="N129" i="9"/>
  <c r="N130" i="9"/>
  <c r="N131" i="9"/>
  <c r="N114" i="9"/>
  <c r="N115" i="9"/>
  <c r="N116" i="9"/>
  <c r="N117" i="9"/>
  <c r="N118" i="9"/>
  <c r="N119" i="9"/>
  <c r="N120" i="9"/>
  <c r="N121" i="9"/>
  <c r="N122" i="9"/>
  <c r="N123" i="9"/>
  <c r="N124" i="9"/>
  <c r="N125" i="9"/>
  <c r="N126" i="9"/>
  <c r="N127" i="9"/>
  <c r="N128" i="9"/>
  <c r="N113" i="9"/>
  <c r="N112" i="9"/>
  <c r="N108" i="9"/>
  <c r="N103" i="9"/>
  <c r="N102" i="9"/>
  <c r="N99" i="9"/>
  <c r="N100" i="9"/>
  <c r="N98" i="9"/>
  <c r="N92" i="9"/>
  <c r="N93" i="9"/>
  <c r="N94" i="9"/>
  <c r="N95" i="9"/>
  <c r="N91" i="9"/>
  <c r="N77" i="9"/>
  <c r="N78" i="9"/>
  <c r="N79" i="9"/>
  <c r="N80" i="9"/>
  <c r="N81" i="9"/>
  <c r="N82" i="9"/>
  <c r="N83" i="9"/>
  <c r="N84" i="9"/>
  <c r="N85" i="9"/>
  <c r="N86" i="9"/>
  <c r="N87" i="9"/>
  <c r="N88" i="9"/>
  <c r="N89" i="9"/>
  <c r="N76" i="9"/>
  <c r="N69" i="9"/>
  <c r="N70" i="9"/>
  <c r="N71" i="9"/>
  <c r="N72" i="9"/>
  <c r="N68" i="9"/>
  <c r="N55" i="9"/>
  <c r="N56" i="9"/>
  <c r="N57" i="9"/>
  <c r="N58" i="9"/>
  <c r="N59" i="9"/>
  <c r="N60" i="9"/>
  <c r="N61" i="9"/>
  <c r="N62" i="9"/>
  <c r="N63" i="9"/>
  <c r="N54" i="9"/>
  <c r="N52" i="9"/>
  <c r="N46" i="9"/>
  <c r="N47" i="9"/>
  <c r="N48" i="9"/>
  <c r="N49" i="9"/>
  <c r="N50" i="9"/>
  <c r="N45" i="9"/>
  <c r="N43" i="9"/>
  <c r="N44" i="9"/>
  <c r="N42" i="9"/>
  <c r="N41" i="9"/>
  <c r="N37" i="9"/>
  <c r="N38" i="9"/>
  <c r="N39" i="9"/>
  <c r="N36" i="9"/>
  <c r="N27" i="9"/>
  <c r="N28" i="9"/>
  <c r="N29" i="9"/>
  <c r="N30" i="9"/>
  <c r="N31" i="9"/>
  <c r="N32" i="9"/>
  <c r="N33" i="9"/>
  <c r="N26" i="9"/>
  <c r="N25" i="9"/>
  <c r="N24" i="9"/>
  <c r="N23" i="9"/>
  <c r="N22" i="9"/>
  <c r="N20" i="9"/>
  <c r="N21" i="9"/>
  <c r="N19" i="9"/>
  <c r="N10" i="9"/>
  <c r="N9" i="9"/>
  <c r="W139" i="9"/>
  <c r="W138" i="9"/>
  <c r="W136" i="9"/>
  <c r="W135" i="9"/>
  <c r="W134" i="9"/>
  <c r="W133" i="9"/>
  <c r="W132" i="9"/>
  <c r="W137" i="9"/>
  <c r="W113" i="9"/>
  <c r="W114" i="9"/>
  <c r="W115" i="9"/>
  <c r="W116" i="9"/>
  <c r="W117" i="9"/>
  <c r="W118" i="9"/>
  <c r="W119" i="9"/>
  <c r="W120" i="9"/>
  <c r="W121" i="9"/>
  <c r="W122" i="9"/>
  <c r="W123" i="9"/>
  <c r="W124" i="9"/>
  <c r="W125" i="9"/>
  <c r="W126" i="9"/>
  <c r="W127" i="9"/>
  <c r="W128" i="9"/>
  <c r="W129" i="9"/>
  <c r="W130" i="9"/>
  <c r="W131" i="9"/>
  <c r="W112" i="9"/>
  <c r="W108" i="9"/>
  <c r="W103" i="9"/>
  <c r="W102" i="9"/>
  <c r="W99" i="9"/>
  <c r="W100" i="9"/>
  <c r="W98" i="9"/>
  <c r="W92" i="9"/>
  <c r="W93" i="9"/>
  <c r="W94" i="9"/>
  <c r="W95" i="9"/>
  <c r="W91" i="9"/>
  <c r="W77" i="9"/>
  <c r="W78" i="9"/>
  <c r="W79" i="9"/>
  <c r="W80" i="9"/>
  <c r="W81" i="9"/>
  <c r="W82" i="9"/>
  <c r="W83" i="9"/>
  <c r="W84" i="9"/>
  <c r="W85" i="9"/>
  <c r="W86" i="9"/>
  <c r="W87" i="9"/>
  <c r="W88" i="9"/>
  <c r="W76" i="9"/>
  <c r="W69" i="9"/>
  <c r="W70" i="9"/>
  <c r="W71" i="9"/>
  <c r="W72" i="9"/>
  <c r="W68" i="9"/>
  <c r="W56" i="9"/>
  <c r="W57" i="9"/>
  <c r="W58" i="9"/>
  <c r="W59" i="9"/>
  <c r="W60" i="9"/>
  <c r="W61" i="9"/>
  <c r="W62" i="9"/>
  <c r="W63" i="9"/>
  <c r="W55" i="9"/>
  <c r="W54" i="9"/>
  <c r="W52" i="9"/>
  <c r="W46" i="9"/>
  <c r="W47" i="9"/>
  <c r="W48" i="9"/>
  <c r="W49" i="9"/>
  <c r="W50" i="9"/>
  <c r="W45" i="9"/>
  <c r="W44" i="9"/>
  <c r="W42" i="9"/>
  <c r="W43" i="9"/>
  <c r="W41" i="9"/>
  <c r="W38" i="9"/>
  <c r="W39" i="9"/>
  <c r="W37" i="9"/>
  <c r="W36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19" i="9"/>
  <c r="W10" i="9"/>
  <c r="W9" i="9"/>
  <c r="V139" i="9"/>
  <c r="V138" i="9"/>
  <c r="V136" i="9"/>
  <c r="V135" i="9"/>
  <c r="V134" i="9"/>
  <c r="V133" i="9"/>
  <c r="V132" i="9"/>
  <c r="V137" i="9"/>
  <c r="V115" i="9"/>
  <c r="V116" i="9"/>
  <c r="V117" i="9"/>
  <c r="V118" i="9"/>
  <c r="V119" i="9"/>
  <c r="V120" i="9"/>
  <c r="V121" i="9"/>
  <c r="V122" i="9"/>
  <c r="V123" i="9"/>
  <c r="V124" i="9"/>
  <c r="V125" i="9"/>
  <c r="V126" i="9"/>
  <c r="V127" i="9"/>
  <c r="V128" i="9"/>
  <c r="V129" i="9"/>
  <c r="V130" i="9"/>
  <c r="V131" i="9"/>
  <c r="V114" i="9"/>
  <c r="V113" i="9"/>
  <c r="V112" i="9"/>
  <c r="V108" i="9"/>
  <c r="V103" i="9"/>
  <c r="V102" i="9"/>
  <c r="V99" i="9"/>
  <c r="V100" i="9"/>
  <c r="V98" i="9"/>
  <c r="V92" i="9"/>
  <c r="V93" i="9"/>
  <c r="V94" i="9"/>
  <c r="V95" i="9"/>
  <c r="V91" i="9"/>
  <c r="V78" i="9"/>
  <c r="V79" i="9"/>
  <c r="V80" i="9"/>
  <c r="V81" i="9"/>
  <c r="V82" i="9"/>
  <c r="V83" i="9"/>
  <c r="V84" i="9"/>
  <c r="V85" i="9"/>
  <c r="V86" i="9"/>
  <c r="V87" i="9"/>
  <c r="V88" i="9"/>
  <c r="V89" i="9"/>
  <c r="V77" i="9"/>
  <c r="V76" i="9"/>
  <c r="V70" i="9"/>
  <c r="V71" i="9"/>
  <c r="V72" i="9"/>
  <c r="V69" i="9"/>
  <c r="V68" i="9"/>
  <c r="V55" i="9"/>
  <c r="V56" i="9"/>
  <c r="V57" i="9"/>
  <c r="V58" i="9"/>
  <c r="V59" i="9"/>
  <c r="V60" i="9"/>
  <c r="V61" i="9"/>
  <c r="V62" i="9"/>
  <c r="V63" i="9"/>
  <c r="V54" i="9"/>
  <c r="V52" i="9"/>
  <c r="V45" i="9"/>
  <c r="V46" i="9"/>
  <c r="V47" i="9"/>
  <c r="V48" i="9"/>
  <c r="V49" i="9"/>
  <c r="V50" i="9"/>
  <c r="V42" i="9"/>
  <c r="V43" i="9"/>
  <c r="V44" i="9"/>
  <c r="V41" i="9"/>
  <c r="V37" i="9"/>
  <c r="V38" i="9"/>
  <c r="V39" i="9"/>
  <c r="V36" i="9"/>
  <c r="V20" i="9"/>
  <c r="V21" i="9"/>
  <c r="V22" i="9"/>
  <c r="V23" i="9"/>
  <c r="V24" i="9"/>
  <c r="V25" i="9"/>
  <c r="V26" i="9"/>
  <c r="V27" i="9"/>
  <c r="V28" i="9"/>
  <c r="V29" i="9"/>
  <c r="V30" i="9"/>
  <c r="V31" i="9"/>
  <c r="V32" i="9"/>
  <c r="V33" i="9"/>
  <c r="V19" i="9"/>
  <c r="V10" i="9"/>
  <c r="V9" i="9"/>
  <c r="U139" i="9"/>
  <c r="U138" i="9"/>
  <c r="U137" i="9"/>
  <c r="U136" i="9"/>
  <c r="U135" i="9"/>
  <c r="U134" i="9"/>
  <c r="U133" i="9"/>
  <c r="U132" i="9"/>
  <c r="U129" i="9"/>
  <c r="U130" i="9"/>
  <c r="U131" i="9"/>
  <c r="U113" i="9"/>
  <c r="U114" i="9"/>
  <c r="U115" i="9"/>
  <c r="U116" i="9"/>
  <c r="U117" i="9"/>
  <c r="U118" i="9"/>
  <c r="U119" i="9"/>
  <c r="U120" i="9"/>
  <c r="U121" i="9"/>
  <c r="U122" i="9"/>
  <c r="U123" i="9"/>
  <c r="U124" i="9"/>
  <c r="U125" i="9"/>
  <c r="U126" i="9"/>
  <c r="U127" i="9"/>
  <c r="U128" i="9"/>
  <c r="U112" i="9"/>
  <c r="U108" i="9"/>
  <c r="U103" i="9"/>
  <c r="U102" i="9"/>
  <c r="U99" i="9"/>
  <c r="U100" i="9"/>
  <c r="U98" i="9"/>
  <c r="U92" i="9"/>
  <c r="U93" i="9"/>
  <c r="U94" i="9"/>
  <c r="U95" i="9"/>
  <c r="U91" i="9"/>
  <c r="U77" i="9"/>
  <c r="U78" i="9"/>
  <c r="U79" i="9"/>
  <c r="U80" i="9"/>
  <c r="U81" i="9"/>
  <c r="U82" i="9"/>
  <c r="U83" i="9"/>
  <c r="U84" i="9"/>
  <c r="U85" i="9"/>
  <c r="U86" i="9"/>
  <c r="U87" i="9"/>
  <c r="U88" i="9"/>
  <c r="U76" i="9"/>
  <c r="U69" i="9"/>
  <c r="U70" i="9"/>
  <c r="U71" i="9"/>
  <c r="U72" i="9"/>
  <c r="U68" i="9"/>
  <c r="U55" i="9"/>
  <c r="U56" i="9"/>
  <c r="U57" i="9"/>
  <c r="U58" i="9"/>
  <c r="U59" i="9"/>
  <c r="U60" i="9"/>
  <c r="U61" i="9"/>
  <c r="U62" i="9"/>
  <c r="U63" i="9"/>
  <c r="U54" i="9"/>
  <c r="U52" i="9"/>
  <c r="U42" i="9"/>
  <c r="U43" i="9"/>
  <c r="U44" i="9"/>
  <c r="U45" i="9"/>
  <c r="U46" i="9"/>
  <c r="U47" i="9"/>
  <c r="U48" i="9"/>
  <c r="U49" i="9"/>
  <c r="U50" i="9"/>
  <c r="U41" i="9"/>
  <c r="U37" i="9"/>
  <c r="U38" i="9"/>
  <c r="U39" i="9"/>
  <c r="U36" i="9"/>
  <c r="U22" i="9"/>
  <c r="U23" i="9"/>
  <c r="U24" i="9"/>
  <c r="U25" i="9"/>
  <c r="U26" i="9"/>
  <c r="U27" i="9"/>
  <c r="U28" i="9"/>
  <c r="U29" i="9"/>
  <c r="U30" i="9"/>
  <c r="U31" i="9"/>
  <c r="U32" i="9"/>
  <c r="U33" i="9"/>
  <c r="U21" i="9"/>
  <c r="U20" i="9"/>
  <c r="U19" i="9"/>
  <c r="U10" i="9"/>
  <c r="U9" i="9"/>
  <c r="K824" i="23"/>
  <c r="I824" i="23"/>
  <c r="J824" i="23" s="1"/>
  <c r="K823" i="23"/>
  <c r="I823" i="23"/>
  <c r="J823" i="23" s="1"/>
  <c r="K822" i="23"/>
  <c r="J822" i="23"/>
  <c r="I822" i="23"/>
  <c r="K821" i="23"/>
  <c r="I821" i="23"/>
  <c r="J821" i="23" s="1"/>
  <c r="K820" i="23"/>
  <c r="I820" i="23"/>
  <c r="J820" i="23" s="1"/>
  <c r="K819" i="23"/>
  <c r="J819" i="23"/>
  <c r="I819" i="23"/>
  <c r="K818" i="23"/>
  <c r="I818" i="23"/>
  <c r="J818" i="23" s="1"/>
  <c r="K817" i="23"/>
  <c r="J817" i="23"/>
  <c r="I817" i="23"/>
  <c r="K816" i="23"/>
  <c r="J816" i="23"/>
  <c r="K815" i="23"/>
  <c r="J815" i="23"/>
  <c r="K814" i="23"/>
  <c r="J814" i="23"/>
  <c r="K813" i="23"/>
  <c r="J813" i="23"/>
  <c r="I813" i="23"/>
  <c r="K812" i="23"/>
  <c r="I812" i="23"/>
  <c r="J812" i="23" s="1"/>
  <c r="K811" i="23"/>
  <c r="I811" i="23"/>
  <c r="J811" i="23" s="1"/>
  <c r="K810" i="23"/>
  <c r="J810" i="23"/>
  <c r="I810" i="23"/>
  <c r="K809" i="23"/>
  <c r="I809" i="23"/>
  <c r="J809" i="23" s="1"/>
  <c r="K808" i="23"/>
  <c r="J808" i="23"/>
  <c r="I808" i="23"/>
  <c r="K807" i="23"/>
  <c r="I807" i="23"/>
  <c r="J807" i="23" s="1"/>
  <c r="K806" i="23"/>
  <c r="I806" i="23"/>
  <c r="J806" i="23" s="1"/>
  <c r="K805" i="23"/>
  <c r="J805" i="23"/>
  <c r="I805" i="23"/>
  <c r="K804" i="23"/>
  <c r="I804" i="23"/>
  <c r="J804" i="23" s="1"/>
  <c r="K803" i="23"/>
  <c r="I803" i="23"/>
  <c r="J803" i="23" s="1"/>
  <c r="K802" i="23"/>
  <c r="J802" i="23"/>
  <c r="I802" i="23"/>
  <c r="K801" i="23"/>
  <c r="I801" i="23"/>
  <c r="J801" i="23" s="1"/>
  <c r="K800" i="23"/>
  <c r="J800" i="23"/>
  <c r="I800" i="23"/>
  <c r="K799" i="23"/>
  <c r="I799" i="23"/>
  <c r="J799" i="23" s="1"/>
  <c r="K798" i="23"/>
  <c r="I798" i="23"/>
  <c r="J798" i="23" s="1"/>
  <c r="K797" i="23"/>
  <c r="J797" i="23"/>
  <c r="K796" i="23"/>
  <c r="J796" i="23"/>
  <c r="K795" i="23"/>
  <c r="I795" i="23"/>
  <c r="J795" i="23" s="1"/>
  <c r="K794" i="23"/>
  <c r="J794" i="23"/>
  <c r="I794" i="23"/>
  <c r="K793" i="23"/>
  <c r="I793" i="23"/>
  <c r="J793" i="23" s="1"/>
  <c r="K792" i="23"/>
  <c r="I792" i="23"/>
  <c r="J792" i="23" s="1"/>
  <c r="K791" i="23"/>
  <c r="J791" i="23"/>
  <c r="I791" i="23"/>
  <c r="K790" i="23"/>
  <c r="I790" i="23"/>
  <c r="J790" i="23" s="1"/>
  <c r="K789" i="23"/>
  <c r="I789" i="23"/>
  <c r="J789" i="23" s="1"/>
  <c r="K788" i="23"/>
  <c r="J788" i="23"/>
  <c r="I788" i="23"/>
  <c r="K787" i="23"/>
  <c r="I787" i="23"/>
  <c r="J787" i="23" s="1"/>
  <c r="K786" i="23"/>
  <c r="J786" i="23"/>
  <c r="K785" i="23"/>
  <c r="U89" i="9" s="1"/>
  <c r="I785" i="23"/>
  <c r="J785" i="23" s="1"/>
  <c r="W89" i="9" s="1"/>
  <c r="K784" i="23"/>
  <c r="I784" i="23"/>
  <c r="J784" i="23" s="1"/>
  <c r="K783" i="23"/>
  <c r="J783" i="23"/>
  <c r="I783" i="23"/>
  <c r="K782" i="23"/>
  <c r="I782" i="23"/>
  <c r="J782" i="23" s="1"/>
  <c r="K781" i="23"/>
  <c r="I781" i="23"/>
  <c r="J781" i="23" s="1"/>
  <c r="K780" i="23"/>
  <c r="J780" i="23"/>
  <c r="I780" i="23"/>
  <c r="K779" i="23"/>
  <c r="I779" i="23"/>
  <c r="J779" i="23" s="1"/>
  <c r="K778" i="23"/>
  <c r="I778" i="23"/>
  <c r="J778" i="23" s="1"/>
  <c r="K777" i="23"/>
  <c r="J777" i="23"/>
  <c r="I777" i="23"/>
  <c r="K776" i="23"/>
  <c r="I776" i="23"/>
  <c r="J776" i="23" s="1"/>
  <c r="K775" i="23"/>
  <c r="J775" i="23"/>
  <c r="I775" i="23"/>
  <c r="K774" i="23"/>
  <c r="I774" i="23"/>
  <c r="J774" i="23" s="1"/>
  <c r="K773" i="23"/>
  <c r="I773" i="23"/>
  <c r="J773" i="23" s="1"/>
  <c r="K772" i="23"/>
  <c r="J772" i="23"/>
  <c r="I772" i="23"/>
  <c r="K771" i="23"/>
  <c r="I771" i="23"/>
  <c r="J771" i="23" s="1"/>
  <c r="K770" i="23"/>
  <c r="I770" i="23"/>
  <c r="J770" i="23" s="1"/>
  <c r="K769" i="23"/>
  <c r="J769" i="23"/>
  <c r="I769" i="23"/>
  <c r="K768" i="23"/>
  <c r="I768" i="23"/>
  <c r="J768" i="23" s="1"/>
  <c r="K767" i="23"/>
  <c r="J767" i="23"/>
  <c r="I767" i="23"/>
  <c r="K766" i="23"/>
  <c r="I766" i="23"/>
  <c r="J766" i="23" s="1"/>
  <c r="K765" i="23"/>
  <c r="I765" i="23"/>
  <c r="J765" i="23" s="1"/>
  <c r="K764" i="23"/>
  <c r="J764" i="23"/>
  <c r="I764" i="23"/>
  <c r="K763" i="23"/>
  <c r="I763" i="23"/>
  <c r="J763" i="23" s="1"/>
  <c r="K762" i="23"/>
  <c r="I762" i="23"/>
  <c r="J762" i="23" s="1"/>
  <c r="K761" i="23"/>
  <c r="J761" i="23"/>
  <c r="I761" i="23"/>
  <c r="K760" i="23"/>
  <c r="I760" i="23"/>
  <c r="J760" i="23" s="1"/>
  <c r="K759" i="23"/>
  <c r="J759" i="23"/>
  <c r="I759" i="23"/>
  <c r="K758" i="23"/>
  <c r="I758" i="23"/>
  <c r="J758" i="23" s="1"/>
  <c r="K757" i="23"/>
  <c r="I757" i="23"/>
  <c r="J757" i="23" s="1"/>
  <c r="K756" i="23"/>
  <c r="J756" i="23"/>
  <c r="K755" i="23"/>
  <c r="J755" i="23"/>
  <c r="K754" i="23"/>
  <c r="I754" i="23"/>
  <c r="J754" i="23" s="1"/>
  <c r="K753" i="23"/>
  <c r="J753" i="23"/>
  <c r="I753" i="23"/>
  <c r="K752" i="23"/>
  <c r="I752" i="23"/>
  <c r="J752" i="23" s="1"/>
  <c r="K751" i="23"/>
  <c r="I751" i="23"/>
  <c r="J751" i="23" s="1"/>
  <c r="K750" i="23"/>
  <c r="J750" i="23"/>
  <c r="I750" i="23"/>
  <c r="K749" i="23"/>
  <c r="J749" i="23"/>
  <c r="K748" i="23"/>
  <c r="I748" i="23"/>
  <c r="J748" i="23" s="1"/>
  <c r="K747" i="23"/>
  <c r="J747" i="23"/>
  <c r="I747" i="23"/>
  <c r="K746" i="23"/>
  <c r="I746" i="23"/>
  <c r="J746" i="23" s="1"/>
  <c r="K745" i="23"/>
  <c r="I745" i="23"/>
  <c r="J745" i="23" s="1"/>
  <c r="K744" i="23"/>
  <c r="J744" i="23"/>
  <c r="I744" i="23"/>
  <c r="K743" i="23"/>
  <c r="I743" i="23"/>
  <c r="J743" i="23" s="1"/>
  <c r="K742" i="23"/>
  <c r="J742" i="23"/>
  <c r="I742" i="23"/>
  <c r="K741" i="23"/>
  <c r="I741" i="23"/>
  <c r="J741" i="23" s="1"/>
  <c r="K740" i="23"/>
  <c r="I740" i="23"/>
  <c r="J740" i="23" s="1"/>
  <c r="K739" i="23"/>
  <c r="J739" i="23"/>
  <c r="I739" i="23"/>
  <c r="K738" i="23"/>
  <c r="I738" i="23"/>
  <c r="J738" i="23" s="1"/>
  <c r="K737" i="23"/>
  <c r="I737" i="23"/>
  <c r="J737" i="23" s="1"/>
  <c r="K736" i="23"/>
  <c r="J736" i="23"/>
  <c r="I736" i="23"/>
  <c r="K735" i="23"/>
  <c r="I735" i="23"/>
  <c r="J735" i="23" s="1"/>
  <c r="K734" i="23"/>
  <c r="J734" i="23"/>
  <c r="I734" i="23"/>
  <c r="K733" i="23"/>
  <c r="I733" i="23"/>
  <c r="J733" i="23" s="1"/>
  <c r="K732" i="23"/>
  <c r="I732" i="23"/>
  <c r="J732" i="23" s="1"/>
  <c r="K731" i="23"/>
  <c r="J731" i="23"/>
  <c r="I731" i="23"/>
  <c r="K730" i="23"/>
  <c r="I730" i="23"/>
  <c r="J730" i="23" s="1"/>
  <c r="K729" i="23"/>
  <c r="I729" i="23"/>
  <c r="J729" i="23" s="1"/>
  <c r="K728" i="23"/>
  <c r="J728" i="23"/>
  <c r="I728" i="23"/>
  <c r="K727" i="23"/>
  <c r="I727" i="23"/>
  <c r="J727" i="23" s="1"/>
  <c r="K726" i="23"/>
  <c r="J726" i="23"/>
  <c r="I726" i="23"/>
  <c r="K725" i="23"/>
  <c r="I725" i="23"/>
  <c r="J725" i="23" s="1"/>
  <c r="AD139" i="9"/>
  <c r="AD138" i="9"/>
  <c r="AD136" i="9"/>
  <c r="AD135" i="9"/>
  <c r="AD134" i="9"/>
  <c r="AD133" i="9"/>
  <c r="AD132" i="9"/>
  <c r="AD137" i="9"/>
  <c r="AD130" i="9"/>
  <c r="AD131" i="9"/>
  <c r="AD129" i="9"/>
  <c r="AD118" i="9"/>
  <c r="AD119" i="9"/>
  <c r="AD120" i="9"/>
  <c r="AD121" i="9"/>
  <c r="AD122" i="9"/>
  <c r="AD123" i="9"/>
  <c r="AD124" i="9"/>
  <c r="AD125" i="9"/>
  <c r="AD126" i="9"/>
  <c r="AD127" i="9"/>
  <c r="AD128" i="9"/>
  <c r="AD115" i="9"/>
  <c r="AD116" i="9"/>
  <c r="AD117" i="9"/>
  <c r="AD114" i="9"/>
  <c r="AD113" i="9"/>
  <c r="AD112" i="9"/>
  <c r="AD108" i="9"/>
  <c r="AD103" i="9"/>
  <c r="AD102" i="9"/>
  <c r="AD99" i="9"/>
  <c r="AD100" i="9"/>
  <c r="AD98" i="9"/>
  <c r="AD92" i="9"/>
  <c r="AD93" i="9"/>
  <c r="AD94" i="9"/>
  <c r="AD95" i="9"/>
  <c r="AD91" i="9"/>
  <c r="AD78" i="9"/>
  <c r="AD79" i="9"/>
  <c r="AD80" i="9"/>
  <c r="AD81" i="9"/>
  <c r="AD82" i="9"/>
  <c r="AD83" i="9"/>
  <c r="AD84" i="9"/>
  <c r="AD85" i="9"/>
  <c r="AD86" i="9"/>
  <c r="AD87" i="9"/>
  <c r="AD88" i="9"/>
  <c r="AD77" i="9"/>
  <c r="AD76" i="9"/>
  <c r="AD69" i="9"/>
  <c r="AD70" i="9"/>
  <c r="AD71" i="9"/>
  <c r="AD72" i="9"/>
  <c r="AD68" i="9"/>
  <c r="AD55" i="9"/>
  <c r="AD56" i="9"/>
  <c r="AD57" i="9"/>
  <c r="AD58" i="9"/>
  <c r="AD59" i="9"/>
  <c r="AD60" i="9"/>
  <c r="AD61" i="9"/>
  <c r="AD62" i="9"/>
  <c r="AD63" i="9"/>
  <c r="AD54" i="9"/>
  <c r="AD52" i="9"/>
  <c r="AD50" i="9"/>
  <c r="AD45" i="9"/>
  <c r="AD46" i="9"/>
  <c r="AD47" i="9"/>
  <c r="AD48" i="9"/>
  <c r="AD49" i="9"/>
  <c r="AD44" i="9"/>
  <c r="AD42" i="9"/>
  <c r="AD43" i="9"/>
  <c r="AD41" i="9"/>
  <c r="AD37" i="9"/>
  <c r="AD38" i="9"/>
  <c r="AD39" i="9"/>
  <c r="AD36" i="9"/>
  <c r="AD29" i="9"/>
  <c r="AD30" i="9"/>
  <c r="AD31" i="9"/>
  <c r="AD32" i="9"/>
  <c r="AD33" i="9"/>
  <c r="AD22" i="9"/>
  <c r="AD23" i="9"/>
  <c r="AD24" i="9"/>
  <c r="AD25" i="9"/>
  <c r="AD26" i="9"/>
  <c r="AD27" i="9"/>
  <c r="AD28" i="9"/>
  <c r="AD20" i="9"/>
  <c r="AD21" i="9"/>
  <c r="AD19" i="9"/>
  <c r="AD10" i="9"/>
  <c r="AD9" i="9"/>
  <c r="AC139" i="9"/>
  <c r="AC138" i="9"/>
  <c r="AC137" i="9"/>
  <c r="AC136" i="9"/>
  <c r="AC135" i="9"/>
  <c r="AC134" i="9"/>
  <c r="AC133" i="9"/>
  <c r="AC132" i="9"/>
  <c r="AC131" i="9"/>
  <c r="AC130" i="9"/>
  <c r="AC129" i="9"/>
  <c r="AC128" i="9"/>
  <c r="AC127" i="9"/>
  <c r="AC124" i="9"/>
  <c r="AC125" i="9"/>
  <c r="AC126" i="9"/>
  <c r="AC121" i="9"/>
  <c r="AC122" i="9"/>
  <c r="AC123" i="9"/>
  <c r="AC118" i="9"/>
  <c r="AC119" i="9"/>
  <c r="AC120" i="9"/>
  <c r="AC115" i="9"/>
  <c r="AC116" i="9"/>
  <c r="AC117" i="9"/>
  <c r="AC113" i="9"/>
  <c r="AC114" i="9"/>
  <c r="AC112" i="9"/>
  <c r="AC108" i="9"/>
  <c r="AC103" i="9"/>
  <c r="AC102" i="9"/>
  <c r="AC99" i="9"/>
  <c r="AC100" i="9"/>
  <c r="AC98" i="9"/>
  <c r="AC92" i="9"/>
  <c r="AC93" i="9"/>
  <c r="AC94" i="9"/>
  <c r="AC95" i="9"/>
  <c r="AC91" i="9"/>
  <c r="AC77" i="9"/>
  <c r="AC78" i="9"/>
  <c r="AC79" i="9"/>
  <c r="AC80" i="9"/>
  <c r="AC81" i="9"/>
  <c r="AC82" i="9"/>
  <c r="AC83" i="9"/>
  <c r="AC84" i="9"/>
  <c r="AC85" i="9"/>
  <c r="AC86" i="9"/>
  <c r="AC87" i="9"/>
  <c r="AC88" i="9"/>
  <c r="AC89" i="9"/>
  <c r="AC76" i="9"/>
  <c r="AC69" i="9"/>
  <c r="AC70" i="9"/>
  <c r="AC71" i="9"/>
  <c r="AC72" i="9"/>
  <c r="AC68" i="9"/>
  <c r="AC63" i="9"/>
  <c r="AC62" i="9"/>
  <c r="AC61" i="9"/>
  <c r="AC60" i="9"/>
  <c r="AC59" i="9"/>
  <c r="AC58" i="9"/>
  <c r="AC57" i="9"/>
  <c r="AC56" i="9"/>
  <c r="AC55" i="9"/>
  <c r="AC54" i="9"/>
  <c r="AC52" i="9"/>
  <c r="AC46" i="9"/>
  <c r="AC47" i="9"/>
  <c r="AC48" i="9"/>
  <c r="AC49" i="9"/>
  <c r="AC50" i="9"/>
  <c r="AC42" i="9"/>
  <c r="AC43" i="9"/>
  <c r="AC44" i="9"/>
  <c r="AC45" i="9"/>
  <c r="AC41" i="9"/>
  <c r="AC37" i="9"/>
  <c r="AC38" i="9"/>
  <c r="AC39" i="9"/>
  <c r="AC36" i="9"/>
  <c r="AC21" i="9"/>
  <c r="AC22" i="9"/>
  <c r="AC23" i="9"/>
  <c r="AC24" i="9"/>
  <c r="AC25" i="9"/>
  <c r="AC26" i="9"/>
  <c r="AC27" i="9"/>
  <c r="AC28" i="9"/>
  <c r="AC29" i="9"/>
  <c r="AC30" i="9"/>
  <c r="AC31" i="9"/>
  <c r="AC32" i="9"/>
  <c r="AC33" i="9"/>
  <c r="AC20" i="9"/>
  <c r="AC19" i="9"/>
  <c r="AC10" i="9"/>
  <c r="AC9" i="9"/>
  <c r="AB139" i="9"/>
  <c r="AB138" i="9"/>
  <c r="AB137" i="9"/>
  <c r="AB136" i="9"/>
  <c r="AB135" i="9"/>
  <c r="AB134" i="9"/>
  <c r="AB133" i="9"/>
  <c r="AB132" i="9"/>
  <c r="AB131" i="9"/>
  <c r="AB130" i="9"/>
  <c r="AB129" i="9"/>
  <c r="AB128" i="9"/>
  <c r="AB127" i="9"/>
  <c r="AB126" i="9"/>
  <c r="AB125" i="9"/>
  <c r="AB124" i="9"/>
  <c r="AB123" i="9"/>
  <c r="AB122" i="9"/>
  <c r="AB121" i="9"/>
  <c r="AB120" i="9"/>
  <c r="AB119" i="9"/>
  <c r="AB118" i="9"/>
  <c r="AB117" i="9"/>
  <c r="AB116" i="9"/>
  <c r="AB115" i="9"/>
  <c r="AB114" i="9"/>
  <c r="AB113" i="9"/>
  <c r="AB112" i="9"/>
  <c r="AB108" i="9"/>
  <c r="AB103" i="9"/>
  <c r="AB102" i="9"/>
  <c r="AB100" i="9"/>
  <c r="AB99" i="9"/>
  <c r="AB98" i="9"/>
  <c r="AB95" i="9"/>
  <c r="AB94" i="9"/>
  <c r="AB93" i="9"/>
  <c r="AB92" i="9"/>
  <c r="AB91" i="9"/>
  <c r="AB88" i="9"/>
  <c r="AB87" i="9"/>
  <c r="AB86" i="9"/>
  <c r="AB85" i="9"/>
  <c r="AB84" i="9"/>
  <c r="AB83" i="9"/>
  <c r="AB82" i="9"/>
  <c r="AB81" i="9"/>
  <c r="AB80" i="9"/>
  <c r="AB79" i="9"/>
  <c r="AB78" i="9"/>
  <c r="AB77" i="9"/>
  <c r="AB76" i="9"/>
  <c r="AB72" i="9"/>
  <c r="AB71" i="9"/>
  <c r="AB70" i="9"/>
  <c r="AB69" i="9"/>
  <c r="AB68" i="9"/>
  <c r="AB62" i="9"/>
  <c r="AB63" i="9"/>
  <c r="AB60" i="9"/>
  <c r="AB61" i="9"/>
  <c r="AB58" i="9"/>
  <c r="AB59" i="9"/>
  <c r="AB55" i="9"/>
  <c r="AB56" i="9"/>
  <c r="AB57" i="9"/>
  <c r="AB54" i="9"/>
  <c r="AB52" i="9"/>
  <c r="AB50" i="9"/>
  <c r="AB49" i="9"/>
  <c r="AB48" i="9"/>
  <c r="AB47" i="9"/>
  <c r="AB46" i="9"/>
  <c r="AB45" i="9"/>
  <c r="AB44" i="9"/>
  <c r="AB43" i="9"/>
  <c r="AB42" i="9"/>
  <c r="AB41" i="9"/>
  <c r="AB39" i="9"/>
  <c r="AB38" i="9"/>
  <c r="AB37" i="9"/>
  <c r="AB36" i="9"/>
  <c r="AB33" i="9"/>
  <c r="AB32" i="9"/>
  <c r="AB31" i="9"/>
  <c r="AB30" i="9"/>
  <c r="AB29" i="9"/>
  <c r="AB28" i="9"/>
  <c r="AB27" i="9"/>
  <c r="AB26" i="9"/>
  <c r="AB25" i="9"/>
  <c r="AB24" i="9"/>
  <c r="AB23" i="9"/>
  <c r="AB22" i="9"/>
  <c r="AB21" i="9"/>
  <c r="AB20" i="9"/>
  <c r="AB19" i="9"/>
  <c r="AB10" i="9"/>
  <c r="AB9" i="9"/>
  <c r="K721" i="23"/>
  <c r="I721" i="23"/>
  <c r="J721" i="23" s="1"/>
  <c r="K720" i="23"/>
  <c r="I720" i="23"/>
  <c r="J720" i="23" s="1"/>
  <c r="K719" i="23"/>
  <c r="J719" i="23"/>
  <c r="I719" i="23"/>
  <c r="K718" i="23"/>
  <c r="I718" i="23"/>
  <c r="J718" i="23" s="1"/>
  <c r="K717" i="23"/>
  <c r="J717" i="23"/>
  <c r="I717" i="23"/>
  <c r="K716" i="23"/>
  <c r="J716" i="23"/>
  <c r="I716" i="23"/>
  <c r="K715" i="23"/>
  <c r="J715" i="23"/>
  <c r="I715" i="23"/>
  <c r="K714" i="23"/>
  <c r="I714" i="23"/>
  <c r="J714" i="23" s="1"/>
  <c r="K713" i="23"/>
  <c r="J713" i="23"/>
  <c r="K712" i="23"/>
  <c r="J712" i="23"/>
  <c r="K711" i="23"/>
  <c r="J711" i="23"/>
  <c r="K710" i="23"/>
  <c r="J710" i="23"/>
  <c r="I710" i="23"/>
  <c r="K709" i="23"/>
  <c r="I709" i="23"/>
  <c r="J709" i="23" s="1"/>
  <c r="K708" i="23"/>
  <c r="J708" i="23"/>
  <c r="I708" i="23"/>
  <c r="K707" i="23"/>
  <c r="I707" i="23"/>
  <c r="J707" i="23" s="1"/>
  <c r="K706" i="23"/>
  <c r="J706" i="23"/>
  <c r="I706" i="23"/>
  <c r="K705" i="23"/>
  <c r="I705" i="23"/>
  <c r="J705" i="23" s="1"/>
  <c r="K704" i="23"/>
  <c r="I704" i="23"/>
  <c r="J704" i="23" s="1"/>
  <c r="K703" i="23"/>
  <c r="I703" i="23"/>
  <c r="J703" i="23" s="1"/>
  <c r="K702" i="23"/>
  <c r="J702" i="23"/>
  <c r="I702" i="23"/>
  <c r="K701" i="23"/>
  <c r="I701" i="23"/>
  <c r="J701" i="23" s="1"/>
  <c r="K700" i="23"/>
  <c r="J700" i="23"/>
  <c r="I700" i="23"/>
  <c r="K699" i="23"/>
  <c r="I699" i="23"/>
  <c r="J699" i="23" s="1"/>
  <c r="K698" i="23"/>
  <c r="J698" i="23"/>
  <c r="I698" i="23"/>
  <c r="K697" i="23"/>
  <c r="I697" i="23"/>
  <c r="J697" i="23" s="1"/>
  <c r="K696" i="23"/>
  <c r="I696" i="23"/>
  <c r="J696" i="23" s="1"/>
  <c r="K695" i="23"/>
  <c r="I695" i="23"/>
  <c r="J695" i="23" s="1"/>
  <c r="K694" i="23"/>
  <c r="J694" i="23"/>
  <c r="K693" i="23"/>
  <c r="J693" i="23"/>
  <c r="K692" i="23"/>
  <c r="J692" i="23"/>
  <c r="I692" i="23"/>
  <c r="K691" i="23"/>
  <c r="I691" i="23"/>
  <c r="J691" i="23" s="1"/>
  <c r="K690" i="23"/>
  <c r="I690" i="23"/>
  <c r="J690" i="23" s="1"/>
  <c r="K689" i="23"/>
  <c r="I689" i="23"/>
  <c r="J689" i="23" s="1"/>
  <c r="K688" i="23"/>
  <c r="J688" i="23"/>
  <c r="I688" i="23"/>
  <c r="K687" i="23"/>
  <c r="I687" i="23"/>
  <c r="J687" i="23" s="1"/>
  <c r="K686" i="23"/>
  <c r="J686" i="23"/>
  <c r="I686" i="23"/>
  <c r="K685" i="23"/>
  <c r="I685" i="23"/>
  <c r="J685" i="23" s="1"/>
  <c r="K684" i="23"/>
  <c r="J684" i="23"/>
  <c r="I684" i="23"/>
  <c r="K683" i="23"/>
  <c r="J683" i="23"/>
  <c r="K682" i="23"/>
  <c r="AB89" i="9" s="1"/>
  <c r="I682" i="23"/>
  <c r="J682" i="23" s="1"/>
  <c r="AD89" i="9" s="1"/>
  <c r="K681" i="23"/>
  <c r="J681" i="23"/>
  <c r="I681" i="23"/>
  <c r="K680" i="23"/>
  <c r="I680" i="23"/>
  <c r="J680" i="23" s="1"/>
  <c r="K679" i="23"/>
  <c r="I679" i="23"/>
  <c r="J679" i="23" s="1"/>
  <c r="K678" i="23"/>
  <c r="I678" i="23"/>
  <c r="J678" i="23" s="1"/>
  <c r="K677" i="23"/>
  <c r="J677" i="23"/>
  <c r="I677" i="23"/>
  <c r="K676" i="23"/>
  <c r="I676" i="23"/>
  <c r="J676" i="23" s="1"/>
  <c r="K675" i="23"/>
  <c r="J675" i="23"/>
  <c r="I675" i="23"/>
  <c r="K674" i="23"/>
  <c r="I674" i="23"/>
  <c r="J674" i="23" s="1"/>
  <c r="K673" i="23"/>
  <c r="J673" i="23"/>
  <c r="I673" i="23"/>
  <c r="K672" i="23"/>
  <c r="I672" i="23"/>
  <c r="J672" i="23" s="1"/>
  <c r="K671" i="23"/>
  <c r="I671" i="23"/>
  <c r="J671" i="23" s="1"/>
  <c r="K670" i="23"/>
  <c r="I670" i="23"/>
  <c r="J670" i="23" s="1"/>
  <c r="K669" i="23"/>
  <c r="J669" i="23"/>
  <c r="I669" i="23"/>
  <c r="K668" i="23"/>
  <c r="I668" i="23"/>
  <c r="J668" i="23" s="1"/>
  <c r="K667" i="23"/>
  <c r="J667" i="23"/>
  <c r="I667" i="23"/>
  <c r="K666" i="23"/>
  <c r="I666" i="23"/>
  <c r="J666" i="23" s="1"/>
  <c r="K665" i="23"/>
  <c r="J665" i="23"/>
  <c r="I665" i="23"/>
  <c r="K664" i="23"/>
  <c r="I664" i="23"/>
  <c r="J664" i="23" s="1"/>
  <c r="K663" i="23"/>
  <c r="I663" i="23"/>
  <c r="J663" i="23" s="1"/>
  <c r="K662" i="23"/>
  <c r="I662" i="23"/>
  <c r="J662" i="23" s="1"/>
  <c r="K661" i="23"/>
  <c r="J661" i="23"/>
  <c r="I661" i="23"/>
  <c r="K660" i="23"/>
  <c r="I660" i="23"/>
  <c r="J660" i="23" s="1"/>
  <c r="K659" i="23"/>
  <c r="J659" i="23"/>
  <c r="I659" i="23"/>
  <c r="K658" i="23"/>
  <c r="I658" i="23"/>
  <c r="J658" i="23" s="1"/>
  <c r="K657" i="23"/>
  <c r="J657" i="23"/>
  <c r="I657" i="23"/>
  <c r="K656" i="23"/>
  <c r="I656" i="23"/>
  <c r="J656" i="23" s="1"/>
  <c r="K655" i="23"/>
  <c r="I655" i="23"/>
  <c r="J655" i="23" s="1"/>
  <c r="K654" i="23"/>
  <c r="I654" i="23"/>
  <c r="J654" i="23" s="1"/>
  <c r="K653" i="23"/>
  <c r="J653" i="23"/>
  <c r="K652" i="23"/>
  <c r="J652" i="23"/>
  <c r="K651" i="23"/>
  <c r="J651" i="23"/>
  <c r="I651" i="23"/>
  <c r="K650" i="23"/>
  <c r="I650" i="23"/>
  <c r="J650" i="23" s="1"/>
  <c r="K649" i="23"/>
  <c r="I649" i="23"/>
  <c r="J649" i="23" s="1"/>
  <c r="K648" i="23"/>
  <c r="I648" i="23"/>
  <c r="J648" i="23" s="1"/>
  <c r="K647" i="23"/>
  <c r="J647" i="23"/>
  <c r="I647" i="23"/>
  <c r="K646" i="23"/>
  <c r="J646" i="23"/>
  <c r="K645" i="23"/>
  <c r="I645" i="23"/>
  <c r="J645" i="23" s="1"/>
  <c r="K644" i="23"/>
  <c r="J644" i="23"/>
  <c r="I644" i="23"/>
  <c r="K643" i="23"/>
  <c r="I643" i="23"/>
  <c r="J643" i="23" s="1"/>
  <c r="K642" i="23"/>
  <c r="J642" i="23"/>
  <c r="I642" i="23"/>
  <c r="K641" i="23"/>
  <c r="I641" i="23"/>
  <c r="J641" i="23" s="1"/>
  <c r="K640" i="23"/>
  <c r="I640" i="23"/>
  <c r="J640" i="23" s="1"/>
  <c r="K639" i="23"/>
  <c r="I639" i="23"/>
  <c r="J639" i="23" s="1"/>
  <c r="K638" i="23"/>
  <c r="I638" i="23"/>
  <c r="J638" i="23" s="1"/>
  <c r="K637" i="23"/>
  <c r="I637" i="23"/>
  <c r="J637" i="23" s="1"/>
  <c r="K636" i="23"/>
  <c r="J636" i="23"/>
  <c r="I636" i="23"/>
  <c r="K635" i="23"/>
  <c r="I635" i="23"/>
  <c r="J635" i="23" s="1"/>
  <c r="K634" i="23"/>
  <c r="J634" i="23"/>
  <c r="I634" i="23"/>
  <c r="K633" i="23"/>
  <c r="I633" i="23"/>
  <c r="J633" i="23" s="1"/>
  <c r="K632" i="23"/>
  <c r="I632" i="23"/>
  <c r="J632" i="23" s="1"/>
  <c r="K631" i="23"/>
  <c r="I631" i="23"/>
  <c r="J631" i="23" s="1"/>
  <c r="K630" i="23"/>
  <c r="I630" i="23"/>
  <c r="J630" i="23" s="1"/>
  <c r="K629" i="23"/>
  <c r="I629" i="23"/>
  <c r="J629" i="23" s="1"/>
  <c r="K628" i="23"/>
  <c r="J628" i="23"/>
  <c r="I628" i="23"/>
  <c r="K627" i="23"/>
  <c r="I627" i="23"/>
  <c r="J627" i="23" s="1"/>
  <c r="K626" i="23"/>
  <c r="J626" i="23"/>
  <c r="I626" i="23"/>
  <c r="K625" i="23"/>
  <c r="I625" i="23"/>
  <c r="J625" i="23" s="1"/>
  <c r="K624" i="23"/>
  <c r="I624" i="23"/>
  <c r="J624" i="23" s="1"/>
  <c r="K623" i="23"/>
  <c r="I623" i="23"/>
  <c r="J623" i="23" s="1"/>
  <c r="K622" i="23"/>
  <c r="I622" i="23"/>
  <c r="J622" i="23" s="1"/>
  <c r="AK139" i="9"/>
  <c r="AK138" i="9"/>
  <c r="AK137" i="9"/>
  <c r="AK136" i="9"/>
  <c r="AK135" i="9"/>
  <c r="AK134" i="9"/>
  <c r="AK133" i="9"/>
  <c r="AK132" i="9"/>
  <c r="AK114" i="9"/>
  <c r="AK115" i="9"/>
  <c r="AK116" i="9"/>
  <c r="AK117" i="9"/>
  <c r="AK118" i="9"/>
  <c r="AK119" i="9"/>
  <c r="AK120" i="9"/>
  <c r="AK121" i="9"/>
  <c r="AK122" i="9"/>
  <c r="AK123" i="9"/>
  <c r="AK124" i="9"/>
  <c r="AK125" i="9"/>
  <c r="AK126" i="9"/>
  <c r="AK127" i="9"/>
  <c r="AK128" i="9"/>
  <c r="AK129" i="9"/>
  <c r="AK130" i="9"/>
  <c r="AK131" i="9"/>
  <c r="AK113" i="9"/>
  <c r="AK112" i="9"/>
  <c r="AK108" i="9"/>
  <c r="AK103" i="9"/>
  <c r="AK102" i="9"/>
  <c r="AK99" i="9"/>
  <c r="AK100" i="9"/>
  <c r="AK98" i="9"/>
  <c r="AK92" i="9"/>
  <c r="AK93" i="9"/>
  <c r="AK94" i="9"/>
  <c r="AK95" i="9"/>
  <c r="AK91" i="9"/>
  <c r="AK79" i="9"/>
  <c r="AK80" i="9"/>
  <c r="AK81" i="9"/>
  <c r="AK82" i="9"/>
  <c r="AK83" i="9"/>
  <c r="AK84" i="9"/>
  <c r="AK85" i="9"/>
  <c r="AK86" i="9"/>
  <c r="AK87" i="9"/>
  <c r="AK88" i="9"/>
  <c r="AK77" i="9"/>
  <c r="AK78" i="9"/>
  <c r="AK76" i="9"/>
  <c r="AK69" i="9"/>
  <c r="AK70" i="9"/>
  <c r="AK71" i="9"/>
  <c r="AK72" i="9"/>
  <c r="AK68" i="9"/>
  <c r="AK63" i="9"/>
  <c r="AK62" i="9"/>
  <c r="AK61" i="9"/>
  <c r="AK60" i="9"/>
  <c r="AK59" i="9"/>
  <c r="AK58" i="9"/>
  <c r="AK57" i="9"/>
  <c r="AK56" i="9"/>
  <c r="AK55" i="9"/>
  <c r="AK54" i="9"/>
  <c r="AK52" i="9"/>
  <c r="AK50" i="9"/>
  <c r="AK45" i="9"/>
  <c r="AK46" i="9"/>
  <c r="AK47" i="9"/>
  <c r="AK48" i="9"/>
  <c r="AK49" i="9"/>
  <c r="AK42" i="9"/>
  <c r="AK43" i="9"/>
  <c r="AK44" i="9"/>
  <c r="AK41" i="9"/>
  <c r="AK37" i="9"/>
  <c r="AK38" i="9"/>
  <c r="AK39" i="9"/>
  <c r="AK36" i="9"/>
  <c r="AK33" i="9"/>
  <c r="AK32" i="9"/>
  <c r="AK31" i="9"/>
  <c r="AK30" i="9"/>
  <c r="AK29" i="9"/>
  <c r="AK28" i="9"/>
  <c r="AK27" i="9"/>
  <c r="AK24" i="9"/>
  <c r="AK25" i="9"/>
  <c r="AK26" i="9"/>
  <c r="AK21" i="9"/>
  <c r="AK22" i="9"/>
  <c r="AK23" i="9"/>
  <c r="AK20" i="9"/>
  <c r="AK19" i="9"/>
  <c r="AK10" i="9"/>
  <c r="AK9" i="9"/>
  <c r="AJ139" i="9"/>
  <c r="AJ138" i="9"/>
  <c r="AJ137" i="9"/>
  <c r="AJ136" i="9"/>
  <c r="AJ135" i="9"/>
  <c r="AJ134" i="9"/>
  <c r="AJ133" i="9"/>
  <c r="AJ132" i="9"/>
  <c r="AJ129" i="9"/>
  <c r="AJ130" i="9"/>
  <c r="AJ131" i="9"/>
  <c r="AJ126" i="9"/>
  <c r="AJ127" i="9"/>
  <c r="AJ128" i="9"/>
  <c r="AJ123" i="9"/>
  <c r="AJ124" i="9"/>
  <c r="AJ125" i="9"/>
  <c r="AJ121" i="9"/>
  <c r="AJ122" i="9"/>
  <c r="AJ118" i="9"/>
  <c r="AJ119" i="9"/>
  <c r="AJ120" i="9"/>
  <c r="AJ115" i="9"/>
  <c r="AJ116" i="9"/>
  <c r="AJ117" i="9"/>
  <c r="AJ114" i="9"/>
  <c r="AJ113" i="9"/>
  <c r="AJ112" i="9"/>
  <c r="AJ108" i="9"/>
  <c r="AJ103" i="9"/>
  <c r="AJ102" i="9"/>
  <c r="AJ99" i="9"/>
  <c r="AJ100" i="9"/>
  <c r="AJ98" i="9"/>
  <c r="AJ92" i="9"/>
  <c r="AJ93" i="9"/>
  <c r="AJ94" i="9"/>
  <c r="AJ95" i="9"/>
  <c r="AJ91" i="9"/>
  <c r="AJ88" i="9"/>
  <c r="AJ89" i="9"/>
  <c r="AJ84" i="9"/>
  <c r="AJ85" i="9"/>
  <c r="AJ86" i="9"/>
  <c r="AJ87" i="9"/>
  <c r="AJ79" i="9"/>
  <c r="AJ80" i="9"/>
  <c r="AJ81" i="9"/>
  <c r="AJ82" i="9"/>
  <c r="AJ83" i="9"/>
  <c r="AJ78" i="9"/>
  <c r="AJ77" i="9"/>
  <c r="AJ76" i="9"/>
  <c r="AJ70" i="9"/>
  <c r="AJ71" i="9"/>
  <c r="AJ72" i="9"/>
  <c r="AJ69" i="9"/>
  <c r="AJ68" i="9"/>
  <c r="AJ63" i="9"/>
  <c r="AJ62" i="9"/>
  <c r="AJ61" i="9"/>
  <c r="AJ60" i="9"/>
  <c r="AJ59" i="9"/>
  <c r="AJ58" i="9"/>
  <c r="AJ57" i="9"/>
  <c r="AJ56" i="9"/>
  <c r="AJ55" i="9"/>
  <c r="AJ54" i="9"/>
  <c r="AJ52" i="9"/>
  <c r="AJ50" i="9"/>
  <c r="AJ49" i="9"/>
  <c r="AJ48" i="9"/>
  <c r="AJ47" i="9"/>
  <c r="AJ46" i="9"/>
  <c r="AJ45" i="9"/>
  <c r="AJ42" i="9"/>
  <c r="AJ43" i="9"/>
  <c r="AJ44" i="9"/>
  <c r="AJ41" i="9"/>
  <c r="AJ37" i="9"/>
  <c r="AJ38" i="9"/>
  <c r="AJ39" i="9"/>
  <c r="AJ36" i="9"/>
  <c r="AJ29" i="9"/>
  <c r="AJ30" i="9"/>
  <c r="AJ31" i="9"/>
  <c r="AJ32" i="9"/>
  <c r="AJ33" i="9"/>
  <c r="AJ26" i="9"/>
  <c r="AJ27" i="9"/>
  <c r="AJ28" i="9"/>
  <c r="AJ23" i="9"/>
  <c r="AJ24" i="9"/>
  <c r="AJ25" i="9"/>
  <c r="AJ21" i="9"/>
  <c r="AJ22" i="9"/>
  <c r="AJ20" i="9"/>
  <c r="AJ19" i="9"/>
  <c r="AJ10" i="9"/>
  <c r="AJ9" i="9"/>
  <c r="AI139" i="9"/>
  <c r="AI138" i="9"/>
  <c r="AI137" i="9"/>
  <c r="AI136" i="9"/>
  <c r="AI135" i="9"/>
  <c r="AI134" i="9"/>
  <c r="AI133" i="9"/>
  <c r="AI132" i="9"/>
  <c r="AI131" i="9"/>
  <c r="AI130" i="9"/>
  <c r="AI129" i="9"/>
  <c r="AI128" i="9"/>
  <c r="AI127" i="9"/>
  <c r="AI126" i="9"/>
  <c r="AI125" i="9"/>
  <c r="AI124" i="9"/>
  <c r="AI123" i="9"/>
  <c r="AI122" i="9"/>
  <c r="AI121" i="9"/>
  <c r="AI120" i="9"/>
  <c r="AI119" i="9"/>
  <c r="AI118" i="9"/>
  <c r="AI117" i="9"/>
  <c r="AI116" i="9"/>
  <c r="AI115" i="9"/>
  <c r="AI114" i="9"/>
  <c r="AI113" i="9"/>
  <c r="AI112" i="9"/>
  <c r="AI108" i="9"/>
  <c r="AI103" i="9"/>
  <c r="AI102" i="9"/>
  <c r="AI99" i="9"/>
  <c r="AI100" i="9"/>
  <c r="AI98" i="9"/>
  <c r="AI95" i="9"/>
  <c r="AI94" i="9"/>
  <c r="AI93" i="9"/>
  <c r="AI92" i="9"/>
  <c r="AI91" i="9"/>
  <c r="AI88" i="9"/>
  <c r="AI87" i="9"/>
  <c r="AI86" i="9"/>
  <c r="AI85" i="9"/>
  <c r="AI84" i="9"/>
  <c r="AI83" i="9"/>
  <c r="AI82" i="9"/>
  <c r="AI81" i="9"/>
  <c r="AI80" i="9"/>
  <c r="AI79" i="9"/>
  <c r="AI78" i="9"/>
  <c r="AI77" i="9"/>
  <c r="AI76" i="9"/>
  <c r="AI72" i="9"/>
  <c r="AI71" i="9"/>
  <c r="AI70" i="9"/>
  <c r="AI69" i="9"/>
  <c r="AI68" i="9"/>
  <c r="AI63" i="9"/>
  <c r="AI62" i="9"/>
  <c r="AI61" i="9"/>
  <c r="AI60" i="9"/>
  <c r="AI59" i="9"/>
  <c r="AI58" i="9"/>
  <c r="AI57" i="9"/>
  <c r="AI56" i="9"/>
  <c r="AI55" i="9"/>
  <c r="AI54" i="9"/>
  <c r="AI52" i="9"/>
  <c r="AI50" i="9"/>
  <c r="AI49" i="9"/>
  <c r="AI48" i="9"/>
  <c r="AI47" i="9"/>
  <c r="AI46" i="9"/>
  <c r="AI45" i="9"/>
  <c r="AI44" i="9"/>
  <c r="AI42" i="9"/>
  <c r="AI43" i="9"/>
  <c r="AI41" i="9"/>
  <c r="AI39" i="9"/>
  <c r="AI38" i="9"/>
  <c r="AI37" i="9"/>
  <c r="AI36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19" i="9"/>
  <c r="AI10" i="9"/>
  <c r="AI9" i="9"/>
  <c r="K618" i="23"/>
  <c r="I618" i="23"/>
  <c r="J618" i="23" s="1"/>
  <c r="K617" i="23"/>
  <c r="I617" i="23"/>
  <c r="J617" i="23" s="1"/>
  <c r="K616" i="23"/>
  <c r="J616" i="23"/>
  <c r="I616" i="23"/>
  <c r="K615" i="23"/>
  <c r="I615" i="23"/>
  <c r="J615" i="23" s="1"/>
  <c r="K614" i="23"/>
  <c r="J614" i="23"/>
  <c r="I614" i="23"/>
  <c r="K613" i="23"/>
  <c r="J613" i="23"/>
  <c r="I613" i="23"/>
  <c r="K612" i="23"/>
  <c r="I612" i="23"/>
  <c r="J612" i="23" s="1"/>
  <c r="K611" i="23"/>
  <c r="I611" i="23"/>
  <c r="J611" i="23" s="1"/>
  <c r="K610" i="23"/>
  <c r="J610" i="23"/>
  <c r="K609" i="23"/>
  <c r="J609" i="23"/>
  <c r="K608" i="23"/>
  <c r="J608" i="23"/>
  <c r="K607" i="23"/>
  <c r="J607" i="23"/>
  <c r="I607" i="23"/>
  <c r="K606" i="23"/>
  <c r="I606" i="23"/>
  <c r="J606" i="23" s="1"/>
  <c r="K605" i="23"/>
  <c r="J605" i="23"/>
  <c r="I605" i="23"/>
  <c r="K604" i="23"/>
  <c r="J604" i="23"/>
  <c r="I604" i="23"/>
  <c r="K603" i="23"/>
  <c r="I603" i="23"/>
  <c r="J603" i="23" s="1"/>
  <c r="K602" i="23"/>
  <c r="I602" i="23"/>
  <c r="J602" i="23" s="1"/>
  <c r="K601" i="23"/>
  <c r="I601" i="23"/>
  <c r="J601" i="23" s="1"/>
  <c r="K600" i="23"/>
  <c r="I600" i="23"/>
  <c r="J600" i="23" s="1"/>
  <c r="K599" i="23"/>
  <c r="J599" i="23"/>
  <c r="I599" i="23"/>
  <c r="K598" i="23"/>
  <c r="I598" i="23"/>
  <c r="J598" i="23" s="1"/>
  <c r="K597" i="23"/>
  <c r="J597" i="23"/>
  <c r="I597" i="23"/>
  <c r="K596" i="23"/>
  <c r="J596" i="23"/>
  <c r="I596" i="23"/>
  <c r="K595" i="23"/>
  <c r="I595" i="23"/>
  <c r="J595" i="23" s="1"/>
  <c r="K594" i="23"/>
  <c r="I594" i="23"/>
  <c r="J594" i="23" s="1"/>
  <c r="K593" i="23"/>
  <c r="I593" i="23"/>
  <c r="J593" i="23" s="1"/>
  <c r="K592" i="23"/>
  <c r="I592" i="23"/>
  <c r="J592" i="23" s="1"/>
  <c r="K591" i="23"/>
  <c r="J591" i="23"/>
  <c r="K590" i="23"/>
  <c r="J590" i="23"/>
  <c r="K589" i="23"/>
  <c r="I589" i="23"/>
  <c r="J589" i="23" s="1"/>
  <c r="K588" i="23"/>
  <c r="I588" i="23"/>
  <c r="J588" i="23" s="1"/>
  <c r="K587" i="23"/>
  <c r="I587" i="23"/>
  <c r="J587" i="23" s="1"/>
  <c r="K586" i="23"/>
  <c r="I586" i="23"/>
  <c r="J586" i="23" s="1"/>
  <c r="K585" i="23"/>
  <c r="J585" i="23"/>
  <c r="I585" i="23"/>
  <c r="K584" i="23"/>
  <c r="I584" i="23"/>
  <c r="J584" i="23" s="1"/>
  <c r="K583" i="23"/>
  <c r="J583" i="23"/>
  <c r="I583" i="23"/>
  <c r="K582" i="23"/>
  <c r="J582" i="23"/>
  <c r="I582" i="23"/>
  <c r="K581" i="23"/>
  <c r="I581" i="23"/>
  <c r="J581" i="23" s="1"/>
  <c r="K580" i="23"/>
  <c r="J580" i="23"/>
  <c r="K579" i="23"/>
  <c r="AI89" i="9" s="1"/>
  <c r="I579" i="23"/>
  <c r="J579" i="23" s="1"/>
  <c r="AK89" i="9" s="1"/>
  <c r="K578" i="23"/>
  <c r="I578" i="23"/>
  <c r="J578" i="23" s="1"/>
  <c r="K577" i="23"/>
  <c r="I577" i="23"/>
  <c r="J577" i="23" s="1"/>
  <c r="K576" i="23"/>
  <c r="I576" i="23"/>
  <c r="J576" i="23" s="1"/>
  <c r="K575" i="23"/>
  <c r="I575" i="23"/>
  <c r="J575" i="23" s="1"/>
  <c r="K574" i="23"/>
  <c r="J574" i="23"/>
  <c r="I574" i="23"/>
  <c r="K573" i="23"/>
  <c r="I573" i="23"/>
  <c r="J573" i="23" s="1"/>
  <c r="K572" i="23"/>
  <c r="J572" i="23"/>
  <c r="I572" i="23"/>
  <c r="K571" i="23"/>
  <c r="J571" i="23"/>
  <c r="I571" i="23"/>
  <c r="K570" i="23"/>
  <c r="I570" i="23"/>
  <c r="J570" i="23" s="1"/>
  <c r="K569" i="23"/>
  <c r="I569" i="23"/>
  <c r="J569" i="23" s="1"/>
  <c r="K568" i="23"/>
  <c r="I568" i="23"/>
  <c r="J568" i="23" s="1"/>
  <c r="K567" i="23"/>
  <c r="I567" i="23"/>
  <c r="J567" i="23" s="1"/>
  <c r="K566" i="23"/>
  <c r="J566" i="23"/>
  <c r="I566" i="23"/>
  <c r="K565" i="23"/>
  <c r="I565" i="23"/>
  <c r="J565" i="23" s="1"/>
  <c r="K564" i="23"/>
  <c r="J564" i="23"/>
  <c r="I564" i="23"/>
  <c r="K563" i="23"/>
  <c r="J563" i="23"/>
  <c r="I563" i="23"/>
  <c r="K562" i="23"/>
  <c r="I562" i="23"/>
  <c r="J562" i="23" s="1"/>
  <c r="K561" i="23"/>
  <c r="I561" i="23"/>
  <c r="J561" i="23" s="1"/>
  <c r="K560" i="23"/>
  <c r="I560" i="23"/>
  <c r="J560" i="23" s="1"/>
  <c r="K559" i="23"/>
  <c r="I559" i="23"/>
  <c r="J559" i="23" s="1"/>
  <c r="K558" i="23"/>
  <c r="J558" i="23"/>
  <c r="I558" i="23"/>
  <c r="K557" i="23"/>
  <c r="I557" i="23"/>
  <c r="J557" i="23" s="1"/>
  <c r="K556" i="23"/>
  <c r="J556" i="23"/>
  <c r="I556" i="23"/>
  <c r="K555" i="23"/>
  <c r="J555" i="23"/>
  <c r="I555" i="23"/>
  <c r="K554" i="23"/>
  <c r="I554" i="23"/>
  <c r="J554" i="23" s="1"/>
  <c r="K553" i="23"/>
  <c r="I553" i="23"/>
  <c r="J553" i="23" s="1"/>
  <c r="K552" i="23"/>
  <c r="I552" i="23"/>
  <c r="J552" i="23" s="1"/>
  <c r="K551" i="23"/>
  <c r="I551" i="23"/>
  <c r="J551" i="23" s="1"/>
  <c r="K550" i="23"/>
  <c r="J550" i="23"/>
  <c r="K549" i="23"/>
  <c r="J549" i="23"/>
  <c r="K548" i="23"/>
  <c r="I548" i="23"/>
  <c r="J548" i="23" s="1"/>
  <c r="K547" i="23"/>
  <c r="I547" i="23"/>
  <c r="J547" i="23" s="1"/>
  <c r="K546" i="23"/>
  <c r="I546" i="23"/>
  <c r="J546" i="23" s="1"/>
  <c r="K545" i="23"/>
  <c r="I545" i="23"/>
  <c r="J545" i="23" s="1"/>
  <c r="K544" i="23"/>
  <c r="J544" i="23"/>
  <c r="I544" i="23"/>
  <c r="K543" i="23"/>
  <c r="J543" i="23"/>
  <c r="K542" i="23"/>
  <c r="I542" i="23"/>
  <c r="J542" i="23" s="1"/>
  <c r="K541" i="23"/>
  <c r="J541" i="23"/>
  <c r="I541" i="23"/>
  <c r="K540" i="23"/>
  <c r="I540" i="23"/>
  <c r="J540" i="23" s="1"/>
  <c r="K539" i="23"/>
  <c r="J539" i="23"/>
  <c r="I539" i="23"/>
  <c r="K538" i="23"/>
  <c r="J538" i="23"/>
  <c r="I538" i="23"/>
  <c r="K537" i="23"/>
  <c r="I537" i="23"/>
  <c r="J537" i="23" s="1"/>
  <c r="K536" i="23"/>
  <c r="I536" i="23"/>
  <c r="J536" i="23" s="1"/>
  <c r="K535" i="23"/>
  <c r="I535" i="23"/>
  <c r="J535" i="23" s="1"/>
  <c r="K534" i="23"/>
  <c r="I534" i="23"/>
  <c r="J534" i="23" s="1"/>
  <c r="K533" i="23"/>
  <c r="J533" i="23"/>
  <c r="I533" i="23"/>
  <c r="K532" i="23"/>
  <c r="I532" i="23"/>
  <c r="J532" i="23" s="1"/>
  <c r="K531" i="23"/>
  <c r="J531" i="23"/>
  <c r="I531" i="23"/>
  <c r="K530" i="23"/>
  <c r="J530" i="23"/>
  <c r="I530" i="23"/>
  <c r="K529" i="23"/>
  <c r="I529" i="23"/>
  <c r="J529" i="23" s="1"/>
  <c r="K528" i="23"/>
  <c r="I528" i="23"/>
  <c r="J528" i="23" s="1"/>
  <c r="K527" i="23"/>
  <c r="I527" i="23"/>
  <c r="J527" i="23" s="1"/>
  <c r="K526" i="23"/>
  <c r="I526" i="23"/>
  <c r="J526" i="23" s="1"/>
  <c r="K525" i="23"/>
  <c r="J525" i="23"/>
  <c r="I525" i="23"/>
  <c r="K524" i="23"/>
  <c r="I524" i="23"/>
  <c r="J524" i="23" s="1"/>
  <c r="K523" i="23"/>
  <c r="J523" i="23"/>
  <c r="I523" i="23"/>
  <c r="K522" i="23"/>
  <c r="J522" i="23"/>
  <c r="I522" i="23"/>
  <c r="K521" i="23"/>
  <c r="I521" i="23"/>
  <c r="J521" i="23" s="1"/>
  <c r="K520" i="23"/>
  <c r="I520" i="23"/>
  <c r="J520" i="23" s="1"/>
  <c r="K519" i="23"/>
  <c r="I519" i="23"/>
  <c r="J519" i="23" s="1"/>
  <c r="AH33" i="12"/>
  <c r="AH34" i="12"/>
  <c r="AH35" i="12"/>
  <c r="AH36" i="12"/>
  <c r="AH37" i="12"/>
  <c r="AH38" i="12"/>
  <c r="AH39" i="12"/>
  <c r="AH40" i="12"/>
  <c r="AH41" i="12"/>
  <c r="AH42" i="12"/>
  <c r="AH43" i="12"/>
  <c r="AH44" i="12"/>
  <c r="AH45" i="12"/>
  <c r="AH46" i="12"/>
  <c r="AH47" i="12"/>
  <c r="AH48" i="12"/>
  <c r="AH49" i="12"/>
  <c r="AH50" i="12"/>
  <c r="AH51" i="12"/>
  <c r="AH52" i="12"/>
  <c r="AH53" i="12"/>
  <c r="AH54" i="12"/>
  <c r="AH55" i="12"/>
  <c r="AH56" i="12"/>
  <c r="AH57" i="12"/>
  <c r="AH58" i="12"/>
  <c r="AH59" i="12"/>
  <c r="AH60" i="12"/>
  <c r="AH61" i="12"/>
  <c r="AH62" i="12"/>
  <c r="AH63" i="12"/>
  <c r="AH64" i="12"/>
  <c r="AH65" i="12"/>
  <c r="AH66" i="12"/>
  <c r="AH67" i="12"/>
  <c r="AH68" i="12"/>
  <c r="AH70" i="12"/>
  <c r="AH71" i="12"/>
  <c r="AH72" i="12"/>
  <c r="AH73" i="12"/>
  <c r="AH74" i="12"/>
  <c r="AH75" i="12"/>
  <c r="AH76" i="12"/>
  <c r="AH77" i="12"/>
  <c r="AH78" i="12"/>
  <c r="AH79" i="12"/>
  <c r="AH80" i="12"/>
  <c r="AH81" i="12"/>
  <c r="AH82" i="12"/>
  <c r="AH83" i="12"/>
  <c r="AH84" i="12"/>
  <c r="AH85" i="12"/>
  <c r="AH86" i="12"/>
  <c r="AH87" i="12"/>
  <c r="AH88" i="12"/>
  <c r="AH89" i="12"/>
  <c r="AH90" i="12"/>
  <c r="AH91" i="12"/>
  <c r="AH92" i="12"/>
  <c r="AH93" i="12"/>
  <c r="AH94" i="12"/>
  <c r="AH95" i="12"/>
  <c r="AH96" i="12"/>
  <c r="AH97" i="12"/>
  <c r="AH98" i="12"/>
  <c r="AH99" i="12"/>
  <c r="AH100" i="12"/>
  <c r="AH101" i="12"/>
  <c r="AH102" i="12"/>
  <c r="AH103" i="12"/>
  <c r="AH104" i="12"/>
  <c r="AH105" i="12"/>
  <c r="AH106" i="12"/>
  <c r="AH107" i="12"/>
  <c r="AH108" i="12"/>
  <c r="AH10" i="12"/>
  <c r="AH11" i="12"/>
  <c r="AH12" i="12"/>
  <c r="AH13" i="12"/>
  <c r="AH14" i="12"/>
  <c r="AH15" i="12"/>
  <c r="AH16" i="12"/>
  <c r="AH17" i="12"/>
  <c r="AH18" i="12"/>
  <c r="AH19" i="12"/>
  <c r="AH20" i="12"/>
  <c r="AH21" i="12"/>
  <c r="AH22" i="12"/>
  <c r="AH23" i="12"/>
  <c r="AH24" i="12"/>
  <c r="AH25" i="12"/>
  <c r="AH26" i="12"/>
  <c r="AH27" i="12"/>
  <c r="AH28" i="12"/>
  <c r="AH29" i="12"/>
  <c r="AH30" i="12"/>
  <c r="AH31" i="12"/>
  <c r="AH32" i="12"/>
  <c r="AH9" i="12"/>
  <c r="AG12" i="12"/>
  <c r="AG13" i="12"/>
  <c r="AG14" i="12"/>
  <c r="AG15" i="12"/>
  <c r="AG16" i="12"/>
  <c r="AG17" i="12"/>
  <c r="AG18" i="12"/>
  <c r="AG19" i="12"/>
  <c r="AG20" i="12"/>
  <c r="AG21" i="12"/>
  <c r="AG22" i="12"/>
  <c r="AG23" i="12"/>
  <c r="AG24" i="12"/>
  <c r="AG25" i="12"/>
  <c r="AG26" i="12"/>
  <c r="AG27" i="12"/>
  <c r="AG28" i="12"/>
  <c r="AG29" i="12"/>
  <c r="AG30" i="12"/>
  <c r="AG31" i="12"/>
  <c r="AG32" i="12"/>
  <c r="AG33" i="12"/>
  <c r="AG34" i="12"/>
  <c r="AG35" i="12"/>
  <c r="AG36" i="12"/>
  <c r="AG37" i="12"/>
  <c r="AG38" i="12"/>
  <c r="AG39" i="12"/>
  <c r="AG40" i="12"/>
  <c r="AG41" i="12"/>
  <c r="AG42" i="12"/>
  <c r="AG43" i="12"/>
  <c r="AG44" i="12"/>
  <c r="AG45" i="12"/>
  <c r="AG46" i="12"/>
  <c r="AG47" i="12"/>
  <c r="AG48" i="12"/>
  <c r="AG49" i="12"/>
  <c r="AG50" i="12"/>
  <c r="AG51" i="12"/>
  <c r="AG52" i="12"/>
  <c r="AG53" i="12"/>
  <c r="AG54" i="12"/>
  <c r="AG55" i="12"/>
  <c r="AG56" i="12"/>
  <c r="AG57" i="12"/>
  <c r="AG58" i="12"/>
  <c r="AG59" i="12"/>
  <c r="AG60" i="12"/>
  <c r="AG61" i="12"/>
  <c r="AG62" i="12"/>
  <c r="AG63" i="12"/>
  <c r="AG64" i="12"/>
  <c r="AG65" i="12"/>
  <c r="AG66" i="12"/>
  <c r="AG67" i="12"/>
  <c r="AG68" i="12"/>
  <c r="AG69" i="12"/>
  <c r="AG70" i="12"/>
  <c r="AG71" i="12"/>
  <c r="AG72" i="12"/>
  <c r="AG73" i="12"/>
  <c r="AG74" i="12"/>
  <c r="AG75" i="12"/>
  <c r="AG76" i="12"/>
  <c r="AG77" i="12"/>
  <c r="AG78" i="12"/>
  <c r="AG79" i="12"/>
  <c r="AG80" i="12"/>
  <c r="AG81" i="12"/>
  <c r="AG82" i="12"/>
  <c r="AG83" i="12"/>
  <c r="AG84" i="12"/>
  <c r="AG85" i="12"/>
  <c r="AG86" i="12"/>
  <c r="AG87" i="12"/>
  <c r="AG88" i="12"/>
  <c r="AG89" i="12"/>
  <c r="AG90" i="12"/>
  <c r="AG91" i="12"/>
  <c r="AG92" i="12"/>
  <c r="AG93" i="12"/>
  <c r="AG94" i="12"/>
  <c r="AG95" i="12"/>
  <c r="AG96" i="12"/>
  <c r="AG97" i="12"/>
  <c r="AG98" i="12"/>
  <c r="AG99" i="12"/>
  <c r="AG100" i="12"/>
  <c r="AG101" i="12"/>
  <c r="AG102" i="12"/>
  <c r="AG103" i="12"/>
  <c r="AG104" i="12"/>
  <c r="AG105" i="12"/>
  <c r="AG106" i="12"/>
  <c r="AG107" i="12"/>
  <c r="AG108" i="12"/>
  <c r="AG11" i="12"/>
  <c r="AG10" i="12"/>
  <c r="AG9" i="12"/>
  <c r="AF10" i="12"/>
  <c r="AF11" i="12"/>
  <c r="AF12" i="12"/>
  <c r="AF13" i="12"/>
  <c r="AF14" i="12"/>
  <c r="AF15" i="12"/>
  <c r="AF16" i="12"/>
  <c r="AF17" i="12"/>
  <c r="AF18" i="12"/>
  <c r="AF19" i="12"/>
  <c r="AF20" i="12"/>
  <c r="AF21" i="12"/>
  <c r="AF22" i="12"/>
  <c r="AF23" i="12"/>
  <c r="AF24" i="12"/>
  <c r="AF25" i="12"/>
  <c r="AF26" i="12"/>
  <c r="AF27" i="12"/>
  <c r="AF28" i="12"/>
  <c r="AF29" i="12"/>
  <c r="AF30" i="12"/>
  <c r="AF31" i="12"/>
  <c r="AF32" i="12"/>
  <c r="AF33" i="12"/>
  <c r="AF34" i="12"/>
  <c r="AF35" i="12"/>
  <c r="AF36" i="12"/>
  <c r="AF37" i="12"/>
  <c r="AF38" i="12"/>
  <c r="AF39" i="12"/>
  <c r="AF40" i="12"/>
  <c r="AF41" i="12"/>
  <c r="AF42" i="12"/>
  <c r="AF43" i="12"/>
  <c r="AF44" i="12"/>
  <c r="AF45" i="12"/>
  <c r="AF46" i="12"/>
  <c r="AF47" i="12"/>
  <c r="AF48" i="12"/>
  <c r="AF49" i="12"/>
  <c r="AF50" i="12"/>
  <c r="AF51" i="12"/>
  <c r="AF52" i="12"/>
  <c r="AF53" i="12"/>
  <c r="AF54" i="12"/>
  <c r="AF55" i="12"/>
  <c r="AF56" i="12"/>
  <c r="AF57" i="12"/>
  <c r="AF58" i="12"/>
  <c r="AF59" i="12"/>
  <c r="AF60" i="12"/>
  <c r="AF61" i="12"/>
  <c r="AF62" i="12"/>
  <c r="AF63" i="12"/>
  <c r="AF64" i="12"/>
  <c r="AF65" i="12"/>
  <c r="AF66" i="12"/>
  <c r="AF67" i="12"/>
  <c r="AF68" i="12"/>
  <c r="AF70" i="12"/>
  <c r="AF71" i="12"/>
  <c r="AF72" i="12"/>
  <c r="AF73" i="12"/>
  <c r="AF74" i="12"/>
  <c r="AF75" i="12"/>
  <c r="AF76" i="12"/>
  <c r="AF77" i="12"/>
  <c r="AF78" i="12"/>
  <c r="AF79" i="12"/>
  <c r="AF80" i="12"/>
  <c r="AF81" i="12"/>
  <c r="AF82" i="12"/>
  <c r="AF83" i="12"/>
  <c r="AF84" i="12"/>
  <c r="AF85" i="12"/>
  <c r="AF86" i="12"/>
  <c r="AF87" i="12"/>
  <c r="AF88" i="12"/>
  <c r="AF89" i="12"/>
  <c r="AF90" i="12"/>
  <c r="AF91" i="12"/>
  <c r="AF92" i="12"/>
  <c r="AF93" i="12"/>
  <c r="AF94" i="12"/>
  <c r="AF95" i="12"/>
  <c r="AF96" i="12"/>
  <c r="AF97" i="12"/>
  <c r="AF98" i="12"/>
  <c r="AF99" i="12"/>
  <c r="AF100" i="12"/>
  <c r="AF101" i="12"/>
  <c r="AF102" i="12"/>
  <c r="AF103" i="12"/>
  <c r="AF104" i="12"/>
  <c r="AF105" i="12"/>
  <c r="AF106" i="12"/>
  <c r="AF107" i="12"/>
  <c r="AF108" i="12"/>
  <c r="AF9" i="12"/>
  <c r="K515" i="23"/>
  <c r="I515" i="23"/>
  <c r="J515" i="23" s="1"/>
  <c r="K514" i="23"/>
  <c r="J514" i="23"/>
  <c r="I514" i="23"/>
  <c r="K513" i="23"/>
  <c r="J513" i="23"/>
  <c r="I513" i="23"/>
  <c r="K512" i="23"/>
  <c r="I512" i="23"/>
  <c r="J512" i="23" s="1"/>
  <c r="K511" i="23"/>
  <c r="J511" i="23"/>
  <c r="I511" i="23"/>
  <c r="K510" i="23"/>
  <c r="J510" i="23"/>
  <c r="I510" i="23"/>
  <c r="K509" i="23"/>
  <c r="I509" i="23"/>
  <c r="J509" i="23" s="1"/>
  <c r="K508" i="23"/>
  <c r="J508" i="23"/>
  <c r="I508" i="23"/>
  <c r="K507" i="23"/>
  <c r="J507" i="23"/>
  <c r="K506" i="23"/>
  <c r="J506" i="23"/>
  <c r="K505" i="23"/>
  <c r="J505" i="23"/>
  <c r="K504" i="23"/>
  <c r="J504" i="23"/>
  <c r="I504" i="23"/>
  <c r="K503" i="23"/>
  <c r="I503" i="23"/>
  <c r="J503" i="23" s="1"/>
  <c r="K502" i="23"/>
  <c r="J502" i="23"/>
  <c r="I502" i="23"/>
  <c r="K501" i="23"/>
  <c r="J501" i="23"/>
  <c r="I501" i="23"/>
  <c r="K500" i="23"/>
  <c r="I500" i="23"/>
  <c r="J500" i="23" s="1"/>
  <c r="K499" i="23"/>
  <c r="J499" i="23"/>
  <c r="I499" i="23"/>
  <c r="K498" i="23"/>
  <c r="I498" i="23"/>
  <c r="J498" i="23" s="1"/>
  <c r="K497" i="23"/>
  <c r="J497" i="23"/>
  <c r="I497" i="23"/>
  <c r="K496" i="23"/>
  <c r="J496" i="23"/>
  <c r="I496" i="23"/>
  <c r="K495" i="23"/>
  <c r="I495" i="23"/>
  <c r="J495" i="23" s="1"/>
  <c r="K494" i="23"/>
  <c r="J494" i="23"/>
  <c r="I494" i="23"/>
  <c r="K493" i="23"/>
  <c r="J493" i="23"/>
  <c r="I493" i="23"/>
  <c r="K492" i="23"/>
  <c r="I492" i="23"/>
  <c r="J492" i="23" s="1"/>
  <c r="K491" i="23"/>
  <c r="J491" i="23"/>
  <c r="I491" i="23"/>
  <c r="K490" i="23"/>
  <c r="I490" i="23"/>
  <c r="J490" i="23" s="1"/>
  <c r="K489" i="23"/>
  <c r="J489" i="23"/>
  <c r="I489" i="23"/>
  <c r="K488" i="23"/>
  <c r="J488" i="23"/>
  <c r="K487" i="23"/>
  <c r="J487" i="23"/>
  <c r="K486" i="23"/>
  <c r="I486" i="23"/>
  <c r="J486" i="23" s="1"/>
  <c r="K485" i="23"/>
  <c r="J485" i="23"/>
  <c r="I485" i="23"/>
  <c r="K484" i="23"/>
  <c r="I484" i="23"/>
  <c r="J484" i="23" s="1"/>
  <c r="K483" i="23"/>
  <c r="J483" i="23"/>
  <c r="I483" i="23"/>
  <c r="K482" i="23"/>
  <c r="J482" i="23"/>
  <c r="I482" i="23"/>
  <c r="K481" i="23"/>
  <c r="I481" i="23"/>
  <c r="J481" i="23" s="1"/>
  <c r="K480" i="23"/>
  <c r="I480" i="23"/>
  <c r="J480" i="23" s="1"/>
  <c r="K479" i="23"/>
  <c r="J479" i="23"/>
  <c r="I479" i="23"/>
  <c r="K478" i="23"/>
  <c r="I478" i="23"/>
  <c r="J478" i="23" s="1"/>
  <c r="K477" i="23"/>
  <c r="J477" i="23"/>
  <c r="K476" i="23"/>
  <c r="AF69" i="12" s="1"/>
  <c r="I476" i="23"/>
  <c r="J476" i="23" s="1"/>
  <c r="AH69" i="12" s="1"/>
  <c r="K475" i="23"/>
  <c r="I475" i="23"/>
  <c r="J475" i="23" s="1"/>
  <c r="K474" i="23"/>
  <c r="J474" i="23"/>
  <c r="I474" i="23"/>
  <c r="K473" i="23"/>
  <c r="I473" i="23"/>
  <c r="J473" i="23" s="1"/>
  <c r="K472" i="23"/>
  <c r="J472" i="23"/>
  <c r="I472" i="23"/>
  <c r="K471" i="23"/>
  <c r="J471" i="23"/>
  <c r="I471" i="23"/>
  <c r="K470" i="23"/>
  <c r="I470" i="23"/>
  <c r="J470" i="23" s="1"/>
  <c r="K469" i="23"/>
  <c r="I469" i="23"/>
  <c r="J469" i="23" s="1"/>
  <c r="K468" i="23"/>
  <c r="J468" i="23"/>
  <c r="I468" i="23"/>
  <c r="K467" i="23"/>
  <c r="I467" i="23"/>
  <c r="J467" i="23" s="1"/>
  <c r="K466" i="23"/>
  <c r="J466" i="23"/>
  <c r="I466" i="23"/>
  <c r="K465" i="23"/>
  <c r="I465" i="23"/>
  <c r="J465" i="23" s="1"/>
  <c r="K464" i="23"/>
  <c r="J464" i="23"/>
  <c r="I464" i="23"/>
  <c r="K463" i="23"/>
  <c r="J463" i="23"/>
  <c r="I463" i="23"/>
  <c r="K462" i="23"/>
  <c r="I462" i="23"/>
  <c r="J462" i="23" s="1"/>
  <c r="K461" i="23"/>
  <c r="I461" i="23"/>
  <c r="J461" i="23" s="1"/>
  <c r="K460" i="23"/>
  <c r="J460" i="23"/>
  <c r="I460" i="23"/>
  <c r="K459" i="23"/>
  <c r="I459" i="23"/>
  <c r="J459" i="23" s="1"/>
  <c r="K458" i="23"/>
  <c r="J458" i="23"/>
  <c r="I458" i="23"/>
  <c r="K457" i="23"/>
  <c r="I457" i="23"/>
  <c r="J457" i="23" s="1"/>
  <c r="K456" i="23"/>
  <c r="J456" i="23"/>
  <c r="I456" i="23"/>
  <c r="K455" i="23"/>
  <c r="J455" i="23"/>
  <c r="I455" i="23"/>
  <c r="K454" i="23"/>
  <c r="I454" i="23"/>
  <c r="J454" i="23" s="1"/>
  <c r="K453" i="23"/>
  <c r="I453" i="23"/>
  <c r="J453" i="23" s="1"/>
  <c r="K452" i="23"/>
  <c r="J452" i="23"/>
  <c r="I452" i="23"/>
  <c r="K451" i="23"/>
  <c r="I451" i="23"/>
  <c r="J451" i="23" s="1"/>
  <c r="K450" i="23"/>
  <c r="J450" i="23"/>
  <c r="I450" i="23"/>
  <c r="K449" i="23"/>
  <c r="I449" i="23"/>
  <c r="J449" i="23" s="1"/>
  <c r="K448" i="23"/>
  <c r="J448" i="23"/>
  <c r="I448" i="23"/>
  <c r="K447" i="23"/>
  <c r="J447" i="23"/>
  <c r="K446" i="23"/>
  <c r="J446" i="23"/>
  <c r="K445" i="23"/>
  <c r="I445" i="23"/>
  <c r="J445" i="23" s="1"/>
  <c r="K444" i="23"/>
  <c r="J444" i="23"/>
  <c r="I444" i="23"/>
  <c r="K443" i="23"/>
  <c r="I443" i="23"/>
  <c r="J443" i="23" s="1"/>
  <c r="K442" i="23"/>
  <c r="J442" i="23"/>
  <c r="I442" i="23"/>
  <c r="K441" i="23"/>
  <c r="J441" i="23"/>
  <c r="I441" i="23"/>
  <c r="K440" i="23"/>
  <c r="J440" i="23"/>
  <c r="K439" i="23"/>
  <c r="J439" i="23"/>
  <c r="I439" i="23"/>
  <c r="K438" i="23"/>
  <c r="J438" i="23"/>
  <c r="I438" i="23"/>
  <c r="K437" i="23"/>
  <c r="I437" i="23"/>
  <c r="J437" i="23" s="1"/>
  <c r="K436" i="23"/>
  <c r="J436" i="23"/>
  <c r="I436" i="23"/>
  <c r="K435" i="23"/>
  <c r="J435" i="23"/>
  <c r="I435" i="23"/>
  <c r="K434" i="23"/>
  <c r="I434" i="23"/>
  <c r="J434" i="23" s="1"/>
  <c r="K433" i="23"/>
  <c r="J433" i="23"/>
  <c r="I433" i="23"/>
  <c r="K432" i="23"/>
  <c r="I432" i="23"/>
  <c r="J432" i="23" s="1"/>
  <c r="K431" i="23"/>
  <c r="J431" i="23"/>
  <c r="I431" i="23"/>
  <c r="K430" i="23"/>
  <c r="J430" i="23"/>
  <c r="I430" i="23"/>
  <c r="K429" i="23"/>
  <c r="I429" i="23"/>
  <c r="J429" i="23" s="1"/>
  <c r="K428" i="23"/>
  <c r="J428" i="23"/>
  <c r="I428" i="23"/>
  <c r="K427" i="23"/>
  <c r="J427" i="23"/>
  <c r="I427" i="23"/>
  <c r="K426" i="23"/>
  <c r="I426" i="23"/>
  <c r="J426" i="23" s="1"/>
  <c r="K425" i="23"/>
  <c r="J425" i="23"/>
  <c r="I425" i="23"/>
  <c r="K424" i="23"/>
  <c r="I424" i="23"/>
  <c r="J424" i="23" s="1"/>
  <c r="K423" i="23"/>
  <c r="J423" i="23"/>
  <c r="I423" i="23"/>
  <c r="K422" i="23"/>
  <c r="J422" i="23"/>
  <c r="I422" i="23"/>
  <c r="K421" i="23"/>
  <c r="I421" i="23"/>
  <c r="J421" i="23" s="1"/>
  <c r="K420" i="23"/>
  <c r="I420" i="23"/>
  <c r="J420" i="23" s="1"/>
  <c r="K419" i="23"/>
  <c r="J419" i="23"/>
  <c r="I419" i="23"/>
  <c r="K418" i="23"/>
  <c r="I418" i="23"/>
  <c r="J418" i="23" s="1"/>
  <c r="K417" i="23"/>
  <c r="J417" i="23"/>
  <c r="I417" i="23"/>
  <c r="K416" i="23"/>
  <c r="I416" i="23"/>
  <c r="J416" i="23" s="1"/>
  <c r="AA10" i="12"/>
  <c r="AA11" i="12"/>
  <c r="AA12" i="12"/>
  <c r="AA13" i="12"/>
  <c r="AA14" i="12"/>
  <c r="AA15" i="12"/>
  <c r="AA16" i="12"/>
  <c r="AA17" i="12"/>
  <c r="AA18" i="12"/>
  <c r="AA19" i="12"/>
  <c r="AA20" i="12"/>
  <c r="AA21" i="12"/>
  <c r="AA22" i="12"/>
  <c r="AA23" i="12"/>
  <c r="AA24" i="12"/>
  <c r="AA25" i="12"/>
  <c r="AA26" i="12"/>
  <c r="AA27" i="12"/>
  <c r="AA28" i="12"/>
  <c r="AA29" i="12"/>
  <c r="AA30" i="12"/>
  <c r="AA31" i="12"/>
  <c r="AA32" i="12"/>
  <c r="AA33" i="12"/>
  <c r="AA34" i="12"/>
  <c r="AA35" i="12"/>
  <c r="AA36" i="12"/>
  <c r="AA37" i="12"/>
  <c r="AA38" i="12"/>
  <c r="AA39" i="12"/>
  <c r="AA40" i="12"/>
  <c r="AA41" i="12"/>
  <c r="AA42" i="12"/>
  <c r="AA43" i="12"/>
  <c r="AA44" i="12"/>
  <c r="AA45" i="12"/>
  <c r="AA46" i="12"/>
  <c r="AA47" i="12"/>
  <c r="AA48" i="12"/>
  <c r="AA49" i="12"/>
  <c r="AA50" i="12"/>
  <c r="AA51" i="12"/>
  <c r="AA52" i="12"/>
  <c r="AA53" i="12"/>
  <c r="AA54" i="12"/>
  <c r="AA55" i="12"/>
  <c r="AA56" i="12"/>
  <c r="AA57" i="12"/>
  <c r="AA58" i="12"/>
  <c r="AA59" i="12"/>
  <c r="AA60" i="12"/>
  <c r="AA61" i="12"/>
  <c r="AA62" i="12"/>
  <c r="AA63" i="12"/>
  <c r="AA64" i="12"/>
  <c r="AA65" i="12"/>
  <c r="AA66" i="12"/>
  <c r="AA67" i="12"/>
  <c r="AA68" i="12"/>
  <c r="AA70" i="12"/>
  <c r="AA71" i="12"/>
  <c r="AA72" i="12"/>
  <c r="AA73" i="12"/>
  <c r="AA74" i="12"/>
  <c r="AA75" i="12"/>
  <c r="AA76" i="12"/>
  <c r="AA77" i="12"/>
  <c r="AA78" i="12"/>
  <c r="AA79" i="12"/>
  <c r="AA80" i="12"/>
  <c r="AA81" i="12"/>
  <c r="AA82" i="12"/>
  <c r="AA83" i="12"/>
  <c r="AA84" i="12"/>
  <c r="AA85" i="12"/>
  <c r="AA86" i="12"/>
  <c r="AA87" i="12"/>
  <c r="AA88" i="12"/>
  <c r="AA89" i="12"/>
  <c r="AA90" i="12"/>
  <c r="AA91" i="12"/>
  <c r="AA92" i="12"/>
  <c r="AA93" i="12"/>
  <c r="AA94" i="12"/>
  <c r="AA95" i="12"/>
  <c r="AA96" i="12"/>
  <c r="AA97" i="12"/>
  <c r="AA98" i="12"/>
  <c r="AA99" i="12"/>
  <c r="AA100" i="12"/>
  <c r="AA101" i="12"/>
  <c r="AA102" i="12"/>
  <c r="AA103" i="12"/>
  <c r="AA104" i="12"/>
  <c r="AA105" i="12"/>
  <c r="AA106" i="12"/>
  <c r="AA107" i="12"/>
  <c r="AA108" i="12"/>
  <c r="AA9" i="12"/>
  <c r="Z78" i="12"/>
  <c r="Z79" i="12"/>
  <c r="Z80" i="12"/>
  <c r="Z81" i="12"/>
  <c r="Z82" i="12"/>
  <c r="Z83" i="12"/>
  <c r="Z84" i="12"/>
  <c r="Z85" i="12"/>
  <c r="Z86" i="12"/>
  <c r="Z87" i="12"/>
  <c r="Z88" i="12"/>
  <c r="Z89" i="12"/>
  <c r="Z90" i="12"/>
  <c r="Z91" i="12"/>
  <c r="Z92" i="12"/>
  <c r="Z93" i="12"/>
  <c r="Z94" i="12"/>
  <c r="Z95" i="12"/>
  <c r="Z96" i="12"/>
  <c r="Z97" i="12"/>
  <c r="Z98" i="12"/>
  <c r="Z99" i="12"/>
  <c r="Z100" i="12"/>
  <c r="Z101" i="12"/>
  <c r="Z102" i="12"/>
  <c r="Z103" i="12"/>
  <c r="Z104" i="12"/>
  <c r="Z105" i="12"/>
  <c r="Z106" i="12"/>
  <c r="Z107" i="12"/>
  <c r="Z108" i="12"/>
  <c r="Z12" i="12"/>
  <c r="Z13" i="12"/>
  <c r="Z14" i="12"/>
  <c r="Z15" i="12"/>
  <c r="Z16" i="12"/>
  <c r="Z17" i="12"/>
  <c r="Z18" i="12"/>
  <c r="Z19" i="12"/>
  <c r="Z20" i="12"/>
  <c r="Z21" i="12"/>
  <c r="Z22" i="12"/>
  <c r="Z23" i="12"/>
  <c r="Z24" i="12"/>
  <c r="Z25" i="12"/>
  <c r="Z26" i="12"/>
  <c r="Z27" i="12"/>
  <c r="Z28" i="12"/>
  <c r="Z29" i="12"/>
  <c r="Z30" i="12"/>
  <c r="Z31" i="12"/>
  <c r="Z32" i="12"/>
  <c r="Z33" i="12"/>
  <c r="Z34" i="12"/>
  <c r="Z35" i="12"/>
  <c r="Z36" i="12"/>
  <c r="Z37" i="12"/>
  <c r="Z38" i="12"/>
  <c r="Z39" i="12"/>
  <c r="Z40" i="12"/>
  <c r="Z41" i="12"/>
  <c r="Z42" i="12"/>
  <c r="Z43" i="12"/>
  <c r="Z44" i="12"/>
  <c r="Z45" i="12"/>
  <c r="Z46" i="12"/>
  <c r="Z47" i="12"/>
  <c r="Z48" i="12"/>
  <c r="Z49" i="12"/>
  <c r="Z50" i="12"/>
  <c r="Z51" i="12"/>
  <c r="Z52" i="12"/>
  <c r="Z53" i="12"/>
  <c r="Z54" i="12"/>
  <c r="Z55" i="12"/>
  <c r="Z56" i="12"/>
  <c r="Z57" i="12"/>
  <c r="Z58" i="12"/>
  <c r="Z59" i="12"/>
  <c r="Z60" i="12"/>
  <c r="Z61" i="12"/>
  <c r="Z62" i="12"/>
  <c r="Z63" i="12"/>
  <c r="Z64" i="12"/>
  <c r="Z65" i="12"/>
  <c r="Z66" i="12"/>
  <c r="Z67" i="12"/>
  <c r="Z68" i="12"/>
  <c r="Z69" i="12"/>
  <c r="Z70" i="12"/>
  <c r="Z71" i="12"/>
  <c r="Z72" i="12"/>
  <c r="Z73" i="12"/>
  <c r="Z74" i="12"/>
  <c r="Z75" i="12"/>
  <c r="Z76" i="12"/>
  <c r="Z77" i="12"/>
  <c r="Z10" i="12"/>
  <c r="Z11" i="12"/>
  <c r="Z9" i="12"/>
  <c r="Y10" i="12"/>
  <c r="Y11" i="12"/>
  <c r="Y12" i="12"/>
  <c r="Y13" i="12"/>
  <c r="Y14" i="12"/>
  <c r="Y15" i="12"/>
  <c r="Y16" i="12"/>
  <c r="Y17" i="12"/>
  <c r="Y18" i="12"/>
  <c r="Y19" i="12"/>
  <c r="Y20" i="12"/>
  <c r="Y21" i="12"/>
  <c r="Y22" i="12"/>
  <c r="Y23" i="12"/>
  <c r="Y24" i="12"/>
  <c r="Y25" i="12"/>
  <c r="Y26" i="12"/>
  <c r="Y27" i="12"/>
  <c r="Y28" i="12"/>
  <c r="Y29" i="12"/>
  <c r="Y30" i="12"/>
  <c r="Y31" i="12"/>
  <c r="Y32" i="12"/>
  <c r="Y33" i="12"/>
  <c r="Y34" i="12"/>
  <c r="Y35" i="12"/>
  <c r="Y36" i="12"/>
  <c r="Y37" i="12"/>
  <c r="Y38" i="12"/>
  <c r="Y39" i="12"/>
  <c r="Y40" i="12"/>
  <c r="Y41" i="12"/>
  <c r="Y42" i="12"/>
  <c r="Y43" i="12"/>
  <c r="Y44" i="12"/>
  <c r="Y45" i="12"/>
  <c r="Y46" i="12"/>
  <c r="Y47" i="12"/>
  <c r="Y48" i="12"/>
  <c r="Y49" i="12"/>
  <c r="Y50" i="12"/>
  <c r="Y51" i="12"/>
  <c r="Y52" i="12"/>
  <c r="Y53" i="12"/>
  <c r="Y54" i="12"/>
  <c r="Y55" i="12"/>
  <c r="Y56" i="12"/>
  <c r="Y57" i="12"/>
  <c r="Y58" i="12"/>
  <c r="Y59" i="12"/>
  <c r="Y60" i="12"/>
  <c r="Y61" i="12"/>
  <c r="Y62" i="12"/>
  <c r="Y63" i="12"/>
  <c r="Y64" i="12"/>
  <c r="Y65" i="12"/>
  <c r="Y66" i="12"/>
  <c r="Y67" i="12"/>
  <c r="Y68" i="12"/>
  <c r="Y70" i="12"/>
  <c r="Y71" i="12"/>
  <c r="Y72" i="12"/>
  <c r="Y73" i="12"/>
  <c r="Y74" i="12"/>
  <c r="Y75" i="12"/>
  <c r="Y76" i="12"/>
  <c r="Y77" i="12"/>
  <c r="Y78" i="12"/>
  <c r="Y79" i="12"/>
  <c r="Y80" i="12"/>
  <c r="Y81" i="12"/>
  <c r="Y82" i="12"/>
  <c r="Y83" i="12"/>
  <c r="Y84" i="12"/>
  <c r="Y85" i="12"/>
  <c r="Y86" i="12"/>
  <c r="Y87" i="12"/>
  <c r="Y88" i="12"/>
  <c r="Y89" i="12"/>
  <c r="Y90" i="12"/>
  <c r="Y91" i="12"/>
  <c r="Y92" i="12"/>
  <c r="Y93" i="12"/>
  <c r="Y94" i="12"/>
  <c r="Y95" i="12"/>
  <c r="Y96" i="12"/>
  <c r="Y97" i="12"/>
  <c r="Y98" i="12"/>
  <c r="Y99" i="12"/>
  <c r="Y100" i="12"/>
  <c r="Y101" i="12"/>
  <c r="Y102" i="12"/>
  <c r="Y103" i="12"/>
  <c r="Y104" i="12"/>
  <c r="Y105" i="12"/>
  <c r="Y106" i="12"/>
  <c r="Y107" i="12"/>
  <c r="Y108" i="12"/>
  <c r="Y9" i="12"/>
  <c r="K412" i="23"/>
  <c r="I412" i="23"/>
  <c r="J412" i="23" s="1"/>
  <c r="K411" i="23"/>
  <c r="I411" i="23"/>
  <c r="J411" i="23" s="1"/>
  <c r="K410" i="23"/>
  <c r="J410" i="23"/>
  <c r="I410" i="23"/>
  <c r="K409" i="23"/>
  <c r="I409" i="23"/>
  <c r="J409" i="23" s="1"/>
  <c r="K408" i="23"/>
  <c r="I408" i="23"/>
  <c r="J408" i="23" s="1"/>
  <c r="K407" i="23"/>
  <c r="J407" i="23"/>
  <c r="I407" i="23"/>
  <c r="K406" i="23"/>
  <c r="I406" i="23"/>
  <c r="J406" i="23" s="1"/>
  <c r="K405" i="23"/>
  <c r="J405" i="23"/>
  <c r="I405" i="23"/>
  <c r="K404" i="23"/>
  <c r="J404" i="23"/>
  <c r="K403" i="23"/>
  <c r="J403" i="23"/>
  <c r="K402" i="23"/>
  <c r="J402" i="23"/>
  <c r="K401" i="23"/>
  <c r="J401" i="23"/>
  <c r="I401" i="23"/>
  <c r="K400" i="23"/>
  <c r="I400" i="23"/>
  <c r="J400" i="23" s="1"/>
  <c r="K399" i="23"/>
  <c r="I399" i="23"/>
  <c r="J399" i="23" s="1"/>
  <c r="K398" i="23"/>
  <c r="J398" i="23"/>
  <c r="I398" i="23"/>
  <c r="K397" i="23"/>
  <c r="I397" i="23"/>
  <c r="J397" i="23" s="1"/>
  <c r="K396" i="23"/>
  <c r="J396" i="23"/>
  <c r="I396" i="23"/>
  <c r="K395" i="23"/>
  <c r="I395" i="23"/>
  <c r="J395" i="23" s="1"/>
  <c r="K394" i="23"/>
  <c r="I394" i="23"/>
  <c r="J394" i="23" s="1"/>
  <c r="K393" i="23"/>
  <c r="J393" i="23"/>
  <c r="I393" i="23"/>
  <c r="K392" i="23"/>
  <c r="I392" i="23"/>
  <c r="J392" i="23" s="1"/>
  <c r="K391" i="23"/>
  <c r="I391" i="23"/>
  <c r="J391" i="23" s="1"/>
  <c r="K390" i="23"/>
  <c r="J390" i="23"/>
  <c r="I390" i="23"/>
  <c r="K389" i="23"/>
  <c r="I389" i="23"/>
  <c r="J389" i="23" s="1"/>
  <c r="K388" i="23"/>
  <c r="J388" i="23"/>
  <c r="I388" i="23"/>
  <c r="K387" i="23"/>
  <c r="I387" i="23"/>
  <c r="J387" i="23" s="1"/>
  <c r="K386" i="23"/>
  <c r="I386" i="23"/>
  <c r="J386" i="23" s="1"/>
  <c r="K385" i="23"/>
  <c r="J385" i="23"/>
  <c r="K384" i="23"/>
  <c r="J384" i="23"/>
  <c r="K383" i="23"/>
  <c r="I383" i="23"/>
  <c r="J383" i="23" s="1"/>
  <c r="K382" i="23"/>
  <c r="J382" i="23"/>
  <c r="I382" i="23"/>
  <c r="K381" i="23"/>
  <c r="I381" i="23"/>
  <c r="J381" i="23" s="1"/>
  <c r="K380" i="23"/>
  <c r="I380" i="23"/>
  <c r="J380" i="23" s="1"/>
  <c r="K379" i="23"/>
  <c r="J379" i="23"/>
  <c r="I379" i="23"/>
  <c r="K378" i="23"/>
  <c r="I378" i="23"/>
  <c r="J378" i="23" s="1"/>
  <c r="K377" i="23"/>
  <c r="I377" i="23"/>
  <c r="J377" i="23" s="1"/>
  <c r="K376" i="23"/>
  <c r="J376" i="23"/>
  <c r="I376" i="23"/>
  <c r="K375" i="23"/>
  <c r="I375" i="23"/>
  <c r="J375" i="23" s="1"/>
  <c r="K374" i="23"/>
  <c r="J374" i="23"/>
  <c r="K373" i="23"/>
  <c r="Y69" i="12" s="1"/>
  <c r="I373" i="23"/>
  <c r="J373" i="23" s="1"/>
  <c r="AA69" i="12" s="1"/>
  <c r="K372" i="23"/>
  <c r="I372" i="23"/>
  <c r="J372" i="23" s="1"/>
  <c r="K371" i="23"/>
  <c r="J371" i="23"/>
  <c r="I371" i="23"/>
  <c r="K370" i="23"/>
  <c r="I370" i="23"/>
  <c r="J370" i="23" s="1"/>
  <c r="K369" i="23"/>
  <c r="I369" i="23"/>
  <c r="J369" i="23" s="1"/>
  <c r="K368" i="23"/>
  <c r="J368" i="23"/>
  <c r="I368" i="23"/>
  <c r="K367" i="23"/>
  <c r="I367" i="23"/>
  <c r="J367" i="23" s="1"/>
  <c r="K366" i="23"/>
  <c r="I366" i="23"/>
  <c r="J366" i="23" s="1"/>
  <c r="K365" i="23"/>
  <c r="J365" i="23"/>
  <c r="I365" i="23"/>
  <c r="K364" i="23"/>
  <c r="I364" i="23"/>
  <c r="J364" i="23" s="1"/>
  <c r="K363" i="23"/>
  <c r="J363" i="23"/>
  <c r="I363" i="23"/>
  <c r="K362" i="23"/>
  <c r="I362" i="23"/>
  <c r="J362" i="23" s="1"/>
  <c r="K361" i="23"/>
  <c r="I361" i="23"/>
  <c r="J361" i="23" s="1"/>
  <c r="K360" i="23"/>
  <c r="J360" i="23"/>
  <c r="I360" i="23"/>
  <c r="K359" i="23"/>
  <c r="I359" i="23"/>
  <c r="J359" i="23" s="1"/>
  <c r="K358" i="23"/>
  <c r="I358" i="23"/>
  <c r="J358" i="23" s="1"/>
  <c r="K357" i="23"/>
  <c r="J357" i="23"/>
  <c r="I357" i="23"/>
  <c r="K356" i="23"/>
  <c r="I356" i="23"/>
  <c r="J356" i="23" s="1"/>
  <c r="K355" i="23"/>
  <c r="J355" i="23"/>
  <c r="I355" i="23"/>
  <c r="K354" i="23"/>
  <c r="I354" i="23"/>
  <c r="J354" i="23" s="1"/>
  <c r="K353" i="23"/>
  <c r="I353" i="23"/>
  <c r="J353" i="23" s="1"/>
  <c r="K352" i="23"/>
  <c r="J352" i="23"/>
  <c r="I352" i="23"/>
  <c r="K351" i="23"/>
  <c r="I351" i="23"/>
  <c r="J351" i="23" s="1"/>
  <c r="K350" i="23"/>
  <c r="I350" i="23"/>
  <c r="J350" i="23" s="1"/>
  <c r="K349" i="23"/>
  <c r="J349" i="23"/>
  <c r="I349" i="23"/>
  <c r="K348" i="23"/>
  <c r="I348" i="23"/>
  <c r="J348" i="23" s="1"/>
  <c r="K347" i="23"/>
  <c r="J347" i="23"/>
  <c r="I347" i="23"/>
  <c r="K346" i="23"/>
  <c r="I346" i="23"/>
  <c r="J346" i="23" s="1"/>
  <c r="K345" i="23"/>
  <c r="I345" i="23"/>
  <c r="J345" i="23" s="1"/>
  <c r="K344" i="23"/>
  <c r="J344" i="23"/>
  <c r="K343" i="23"/>
  <c r="J343" i="23"/>
  <c r="K342" i="23"/>
  <c r="I342" i="23"/>
  <c r="J342" i="23" s="1"/>
  <c r="K341" i="23"/>
  <c r="J341" i="23"/>
  <c r="I341" i="23"/>
  <c r="K340" i="23"/>
  <c r="I340" i="23"/>
  <c r="J340" i="23" s="1"/>
  <c r="K339" i="23"/>
  <c r="I339" i="23"/>
  <c r="J339" i="23" s="1"/>
  <c r="K338" i="23"/>
  <c r="J338" i="23"/>
  <c r="I338" i="23"/>
  <c r="K337" i="23"/>
  <c r="J337" i="23"/>
  <c r="K336" i="23"/>
  <c r="I336" i="23"/>
  <c r="J336" i="23" s="1"/>
  <c r="K335" i="23"/>
  <c r="J335" i="23"/>
  <c r="I335" i="23"/>
  <c r="K334" i="23"/>
  <c r="I334" i="23"/>
  <c r="J334" i="23" s="1"/>
  <c r="K333" i="23"/>
  <c r="I333" i="23"/>
  <c r="J333" i="23" s="1"/>
  <c r="K332" i="23"/>
  <c r="J332" i="23"/>
  <c r="I332" i="23"/>
  <c r="K331" i="23"/>
  <c r="I331" i="23"/>
  <c r="J331" i="23" s="1"/>
  <c r="K330" i="23"/>
  <c r="J330" i="23"/>
  <c r="I330" i="23"/>
  <c r="K329" i="23"/>
  <c r="I329" i="23"/>
  <c r="J329" i="23" s="1"/>
  <c r="K328" i="23"/>
  <c r="I328" i="23"/>
  <c r="J328" i="23" s="1"/>
  <c r="K327" i="23"/>
  <c r="J327" i="23"/>
  <c r="I327" i="23"/>
  <c r="K326" i="23"/>
  <c r="I326" i="23"/>
  <c r="J326" i="23" s="1"/>
  <c r="K325" i="23"/>
  <c r="I325" i="23"/>
  <c r="J325" i="23" s="1"/>
  <c r="K324" i="23"/>
  <c r="J324" i="23"/>
  <c r="I324" i="23"/>
  <c r="K323" i="23"/>
  <c r="I323" i="23"/>
  <c r="J323" i="23" s="1"/>
  <c r="K322" i="23"/>
  <c r="J322" i="23"/>
  <c r="I322" i="23"/>
  <c r="K321" i="23"/>
  <c r="I321" i="23"/>
  <c r="J321" i="23" s="1"/>
  <c r="K320" i="23"/>
  <c r="I320" i="23"/>
  <c r="J320" i="23" s="1"/>
  <c r="K319" i="23"/>
  <c r="J319" i="23"/>
  <c r="I319" i="23"/>
  <c r="K318" i="23"/>
  <c r="I318" i="23"/>
  <c r="J318" i="23" s="1"/>
  <c r="K317" i="23"/>
  <c r="I317" i="23"/>
  <c r="J317" i="23" s="1"/>
  <c r="K316" i="23"/>
  <c r="J316" i="23"/>
  <c r="I316" i="23"/>
  <c r="K315" i="23"/>
  <c r="I315" i="23"/>
  <c r="J315" i="23" s="1"/>
  <c r="K314" i="23"/>
  <c r="J314" i="23"/>
  <c r="I314" i="23"/>
  <c r="K313" i="23"/>
  <c r="I313" i="23"/>
  <c r="J313" i="23" s="1"/>
  <c r="T86" i="12"/>
  <c r="T87" i="12"/>
  <c r="T88" i="12"/>
  <c r="T89" i="12"/>
  <c r="T90" i="12"/>
  <c r="T91" i="12"/>
  <c r="T92" i="12"/>
  <c r="T93" i="12"/>
  <c r="T94" i="12"/>
  <c r="T95" i="12"/>
  <c r="T96" i="12"/>
  <c r="T97" i="12"/>
  <c r="T98" i="12"/>
  <c r="T99" i="12"/>
  <c r="T100" i="12"/>
  <c r="T101" i="12"/>
  <c r="T102" i="12"/>
  <c r="T103" i="12"/>
  <c r="T104" i="12"/>
  <c r="T105" i="12"/>
  <c r="T106" i="12"/>
  <c r="T107" i="12"/>
  <c r="T108" i="12"/>
  <c r="T41" i="12"/>
  <c r="T42" i="12"/>
  <c r="T43" i="12"/>
  <c r="T44" i="12"/>
  <c r="T45" i="12"/>
  <c r="T46" i="12"/>
  <c r="T47" i="12"/>
  <c r="T48" i="12"/>
  <c r="T49" i="12"/>
  <c r="T50" i="12"/>
  <c r="T51" i="12"/>
  <c r="T52" i="12"/>
  <c r="T53" i="12"/>
  <c r="T54" i="12"/>
  <c r="T55" i="12"/>
  <c r="T56" i="12"/>
  <c r="T57" i="12"/>
  <c r="T58" i="12"/>
  <c r="T59" i="12"/>
  <c r="T60" i="12"/>
  <c r="T61" i="12"/>
  <c r="T62" i="12"/>
  <c r="T63" i="12"/>
  <c r="T64" i="12"/>
  <c r="T65" i="12"/>
  <c r="T66" i="12"/>
  <c r="T67" i="12"/>
  <c r="T68" i="12"/>
  <c r="T70" i="12"/>
  <c r="T71" i="12"/>
  <c r="T72" i="12"/>
  <c r="T73" i="12"/>
  <c r="T74" i="12"/>
  <c r="T75" i="12"/>
  <c r="T76" i="12"/>
  <c r="T77" i="12"/>
  <c r="T78" i="12"/>
  <c r="T79" i="12"/>
  <c r="T80" i="12"/>
  <c r="T81" i="12"/>
  <c r="T82" i="12"/>
  <c r="T83" i="12"/>
  <c r="T84" i="12"/>
  <c r="T85" i="12"/>
  <c r="T12" i="12"/>
  <c r="T13" i="12"/>
  <c r="T14" i="12"/>
  <c r="T15" i="12"/>
  <c r="T16" i="12"/>
  <c r="T17" i="12"/>
  <c r="T18" i="12"/>
  <c r="T19" i="12"/>
  <c r="T20" i="12"/>
  <c r="T21" i="12"/>
  <c r="T22" i="12"/>
  <c r="T23" i="12"/>
  <c r="T24" i="12"/>
  <c r="T25" i="12"/>
  <c r="T26" i="12"/>
  <c r="T27" i="12"/>
  <c r="T28" i="12"/>
  <c r="T29" i="12"/>
  <c r="T30" i="12"/>
  <c r="T31" i="12"/>
  <c r="T32" i="12"/>
  <c r="T33" i="12"/>
  <c r="T34" i="12"/>
  <c r="T35" i="12"/>
  <c r="T36" i="12"/>
  <c r="T37" i="12"/>
  <c r="T38" i="12"/>
  <c r="T39" i="12"/>
  <c r="T40" i="12"/>
  <c r="T10" i="12"/>
  <c r="T11" i="12"/>
  <c r="T9" i="12"/>
  <c r="S70" i="12"/>
  <c r="S71" i="12"/>
  <c r="S72" i="12"/>
  <c r="S73" i="12"/>
  <c r="S74" i="12"/>
  <c r="S75" i="12"/>
  <c r="S76" i="12"/>
  <c r="S77" i="12"/>
  <c r="S78" i="12"/>
  <c r="S79" i="12"/>
  <c r="S80" i="12"/>
  <c r="S81" i="12"/>
  <c r="S82" i="12"/>
  <c r="S83" i="12"/>
  <c r="S84" i="12"/>
  <c r="S85" i="12"/>
  <c r="S86" i="12"/>
  <c r="S87" i="12"/>
  <c r="S88" i="12"/>
  <c r="S89" i="12"/>
  <c r="S90" i="12"/>
  <c r="S91" i="12"/>
  <c r="S92" i="12"/>
  <c r="S93" i="12"/>
  <c r="S94" i="12"/>
  <c r="S95" i="12"/>
  <c r="S96" i="12"/>
  <c r="S97" i="12"/>
  <c r="S98" i="12"/>
  <c r="S99" i="12"/>
  <c r="S100" i="12"/>
  <c r="S101" i="12"/>
  <c r="S102" i="12"/>
  <c r="S103" i="12"/>
  <c r="S104" i="12"/>
  <c r="S105" i="12"/>
  <c r="S106" i="12"/>
  <c r="S107" i="12"/>
  <c r="S108" i="12"/>
  <c r="S64" i="12"/>
  <c r="S65" i="12"/>
  <c r="S66" i="12"/>
  <c r="S67" i="12"/>
  <c r="S68" i="12"/>
  <c r="S69" i="12"/>
  <c r="S33" i="12"/>
  <c r="S34" i="12"/>
  <c r="S35" i="12"/>
  <c r="S36" i="12"/>
  <c r="S37" i="12"/>
  <c r="S38" i="12"/>
  <c r="S39" i="12"/>
  <c r="S40" i="12"/>
  <c r="S41" i="12"/>
  <c r="S42" i="12"/>
  <c r="S43" i="12"/>
  <c r="S44" i="12"/>
  <c r="S45" i="12"/>
  <c r="S46" i="12"/>
  <c r="S47" i="12"/>
  <c r="S48" i="12"/>
  <c r="S49" i="12"/>
  <c r="S50" i="12"/>
  <c r="S51" i="12"/>
  <c r="S52" i="12"/>
  <c r="S53" i="12"/>
  <c r="S54" i="12"/>
  <c r="S55" i="12"/>
  <c r="S56" i="12"/>
  <c r="S57" i="12"/>
  <c r="S58" i="12"/>
  <c r="S59" i="12"/>
  <c r="S60" i="12"/>
  <c r="S61" i="12"/>
  <c r="S62" i="12"/>
  <c r="S63" i="12"/>
  <c r="S10" i="12"/>
  <c r="S11" i="12"/>
  <c r="S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27" i="12"/>
  <c r="S28" i="12"/>
  <c r="S29" i="12"/>
  <c r="S30" i="12"/>
  <c r="S31" i="12"/>
  <c r="S32" i="12"/>
  <c r="S9" i="12"/>
  <c r="R82" i="12"/>
  <c r="R83" i="12"/>
  <c r="R84" i="12"/>
  <c r="R85" i="12"/>
  <c r="R86" i="12"/>
  <c r="R87" i="12"/>
  <c r="R88" i="12"/>
  <c r="R89" i="12"/>
  <c r="R90" i="12"/>
  <c r="R91" i="12"/>
  <c r="R92" i="12"/>
  <c r="R93" i="12"/>
  <c r="R94" i="12"/>
  <c r="R95" i="12"/>
  <c r="R96" i="12"/>
  <c r="R97" i="12"/>
  <c r="R98" i="12"/>
  <c r="R99" i="12"/>
  <c r="R100" i="12"/>
  <c r="R101" i="12"/>
  <c r="R102" i="12"/>
  <c r="R103" i="12"/>
  <c r="R104" i="12"/>
  <c r="R105" i="12"/>
  <c r="R106" i="12"/>
  <c r="R107" i="12"/>
  <c r="R108" i="12"/>
  <c r="R41" i="12"/>
  <c r="R42" i="12"/>
  <c r="R43" i="12"/>
  <c r="R44" i="12"/>
  <c r="R45" i="12"/>
  <c r="R46" i="12"/>
  <c r="R47" i="12"/>
  <c r="R48" i="12"/>
  <c r="R49" i="12"/>
  <c r="R50" i="12"/>
  <c r="R51" i="12"/>
  <c r="R52" i="12"/>
  <c r="R53" i="12"/>
  <c r="R54" i="12"/>
  <c r="R55" i="12"/>
  <c r="R56" i="12"/>
  <c r="R57" i="12"/>
  <c r="R58" i="12"/>
  <c r="R59" i="12"/>
  <c r="R60" i="12"/>
  <c r="R61" i="12"/>
  <c r="R62" i="12"/>
  <c r="R63" i="12"/>
  <c r="R64" i="12"/>
  <c r="R65" i="12"/>
  <c r="R66" i="12"/>
  <c r="R67" i="12"/>
  <c r="R68" i="12"/>
  <c r="R70" i="12"/>
  <c r="R71" i="12"/>
  <c r="R72" i="12"/>
  <c r="R73" i="12"/>
  <c r="R74" i="12"/>
  <c r="R75" i="12"/>
  <c r="R76" i="12"/>
  <c r="R77" i="12"/>
  <c r="R78" i="12"/>
  <c r="R79" i="12"/>
  <c r="R80" i="12"/>
  <c r="R81" i="12"/>
  <c r="R10" i="12"/>
  <c r="R11" i="12"/>
  <c r="R12" i="12"/>
  <c r="R13" i="12"/>
  <c r="R14" i="12"/>
  <c r="R15" i="12"/>
  <c r="R16" i="12"/>
  <c r="R17" i="12"/>
  <c r="R18" i="12"/>
  <c r="R19" i="12"/>
  <c r="R20" i="12"/>
  <c r="R21" i="12"/>
  <c r="R22" i="12"/>
  <c r="R23" i="12"/>
  <c r="R24" i="12"/>
  <c r="R25" i="12"/>
  <c r="R26" i="12"/>
  <c r="R27" i="12"/>
  <c r="R28" i="12"/>
  <c r="R29" i="12"/>
  <c r="R30" i="12"/>
  <c r="R31" i="12"/>
  <c r="R32" i="12"/>
  <c r="R33" i="12"/>
  <c r="R34" i="12"/>
  <c r="R35" i="12"/>
  <c r="R36" i="12"/>
  <c r="R37" i="12"/>
  <c r="R38" i="12"/>
  <c r="R39" i="12"/>
  <c r="R40" i="12"/>
  <c r="R9" i="12"/>
  <c r="K309" i="23"/>
  <c r="I309" i="23"/>
  <c r="J309" i="23" s="1"/>
  <c r="K308" i="23"/>
  <c r="I308" i="23"/>
  <c r="J308" i="23" s="1"/>
  <c r="K307" i="23"/>
  <c r="J307" i="23"/>
  <c r="I307" i="23"/>
  <c r="K306" i="23"/>
  <c r="I306" i="23"/>
  <c r="J306" i="23" s="1"/>
  <c r="K305" i="23"/>
  <c r="J305" i="23"/>
  <c r="I305" i="23"/>
  <c r="K304" i="23"/>
  <c r="J304" i="23"/>
  <c r="I304" i="23"/>
  <c r="K303" i="23"/>
  <c r="I303" i="23"/>
  <c r="J303" i="23" s="1"/>
  <c r="K302" i="23"/>
  <c r="I302" i="23"/>
  <c r="J302" i="23" s="1"/>
  <c r="K301" i="23"/>
  <c r="J301" i="23"/>
  <c r="K300" i="23"/>
  <c r="J300" i="23"/>
  <c r="K299" i="23"/>
  <c r="J299" i="23"/>
  <c r="K298" i="23"/>
  <c r="J298" i="23"/>
  <c r="I298" i="23"/>
  <c r="K297" i="23"/>
  <c r="I297" i="23"/>
  <c r="J297" i="23" s="1"/>
  <c r="K296" i="23"/>
  <c r="J296" i="23"/>
  <c r="I296" i="23"/>
  <c r="K295" i="23"/>
  <c r="J295" i="23"/>
  <c r="I295" i="23"/>
  <c r="K294" i="23"/>
  <c r="I294" i="23"/>
  <c r="J294" i="23" s="1"/>
  <c r="K293" i="23"/>
  <c r="I293" i="23"/>
  <c r="J293" i="23" s="1"/>
  <c r="K292" i="23"/>
  <c r="I292" i="23"/>
  <c r="J292" i="23" s="1"/>
  <c r="K291" i="23"/>
  <c r="I291" i="23"/>
  <c r="J291" i="23" s="1"/>
  <c r="K290" i="23"/>
  <c r="J290" i="23"/>
  <c r="I290" i="23"/>
  <c r="K289" i="23"/>
  <c r="I289" i="23"/>
  <c r="J289" i="23" s="1"/>
  <c r="K288" i="23"/>
  <c r="J288" i="23"/>
  <c r="I288" i="23"/>
  <c r="K287" i="23"/>
  <c r="J287" i="23"/>
  <c r="I287" i="23"/>
  <c r="K286" i="23"/>
  <c r="I286" i="23"/>
  <c r="J286" i="23" s="1"/>
  <c r="K285" i="23"/>
  <c r="I285" i="23"/>
  <c r="J285" i="23" s="1"/>
  <c r="K284" i="23"/>
  <c r="I284" i="23"/>
  <c r="J284" i="23" s="1"/>
  <c r="K283" i="23"/>
  <c r="I283" i="23"/>
  <c r="J283" i="23" s="1"/>
  <c r="K282" i="23"/>
  <c r="J282" i="23"/>
  <c r="K281" i="23"/>
  <c r="J281" i="23"/>
  <c r="K280" i="23"/>
  <c r="I280" i="23"/>
  <c r="J280" i="23" s="1"/>
  <c r="K279" i="23"/>
  <c r="I279" i="23"/>
  <c r="J279" i="23" s="1"/>
  <c r="K278" i="23"/>
  <c r="I278" i="23"/>
  <c r="J278" i="23" s="1"/>
  <c r="K277" i="23"/>
  <c r="I277" i="23"/>
  <c r="J277" i="23" s="1"/>
  <c r="K276" i="23"/>
  <c r="J276" i="23"/>
  <c r="I276" i="23"/>
  <c r="K275" i="23"/>
  <c r="I275" i="23"/>
  <c r="J275" i="23" s="1"/>
  <c r="K274" i="23"/>
  <c r="J274" i="23"/>
  <c r="I274" i="23"/>
  <c r="K273" i="23"/>
  <c r="J273" i="23"/>
  <c r="I273" i="23"/>
  <c r="K272" i="23"/>
  <c r="I272" i="23"/>
  <c r="J272" i="23" s="1"/>
  <c r="K271" i="23"/>
  <c r="J271" i="23"/>
  <c r="K270" i="23"/>
  <c r="R69" i="12" s="1"/>
  <c r="I270" i="23"/>
  <c r="J270" i="23" s="1"/>
  <c r="T69" i="12" s="1"/>
  <c r="K269" i="23"/>
  <c r="I269" i="23"/>
  <c r="J269" i="23" s="1"/>
  <c r="K268" i="23"/>
  <c r="I268" i="23"/>
  <c r="J268" i="23" s="1"/>
  <c r="K267" i="23"/>
  <c r="I267" i="23"/>
  <c r="J267" i="23" s="1"/>
  <c r="K266" i="23"/>
  <c r="I266" i="23"/>
  <c r="J266" i="23" s="1"/>
  <c r="K265" i="23"/>
  <c r="J265" i="23"/>
  <c r="I265" i="23"/>
  <c r="K264" i="23"/>
  <c r="I264" i="23"/>
  <c r="J264" i="23" s="1"/>
  <c r="K263" i="23"/>
  <c r="J263" i="23"/>
  <c r="I263" i="23"/>
  <c r="K262" i="23"/>
  <c r="J262" i="23"/>
  <c r="I262" i="23"/>
  <c r="K261" i="23"/>
  <c r="I261" i="23"/>
  <c r="J261" i="23" s="1"/>
  <c r="K260" i="23"/>
  <c r="I260" i="23"/>
  <c r="J260" i="23" s="1"/>
  <c r="K259" i="23"/>
  <c r="I259" i="23"/>
  <c r="J259" i="23" s="1"/>
  <c r="K258" i="23"/>
  <c r="I258" i="23"/>
  <c r="J258" i="23" s="1"/>
  <c r="K257" i="23"/>
  <c r="J257" i="23"/>
  <c r="I257" i="23"/>
  <c r="K256" i="23"/>
  <c r="I256" i="23"/>
  <c r="J256" i="23" s="1"/>
  <c r="K255" i="23"/>
  <c r="J255" i="23"/>
  <c r="I255" i="23"/>
  <c r="K254" i="23"/>
  <c r="J254" i="23"/>
  <c r="I254" i="23"/>
  <c r="K253" i="23"/>
  <c r="I253" i="23"/>
  <c r="J253" i="23" s="1"/>
  <c r="K252" i="23"/>
  <c r="I252" i="23"/>
  <c r="J252" i="23" s="1"/>
  <c r="K251" i="23"/>
  <c r="I251" i="23"/>
  <c r="J251" i="23" s="1"/>
  <c r="K250" i="23"/>
  <c r="I250" i="23"/>
  <c r="J250" i="23" s="1"/>
  <c r="K249" i="23"/>
  <c r="J249" i="23"/>
  <c r="I249" i="23"/>
  <c r="K248" i="23"/>
  <c r="I248" i="23"/>
  <c r="J248" i="23" s="1"/>
  <c r="K247" i="23"/>
  <c r="J247" i="23"/>
  <c r="I247" i="23"/>
  <c r="K246" i="23"/>
  <c r="J246" i="23"/>
  <c r="I246" i="23"/>
  <c r="K245" i="23"/>
  <c r="I245" i="23"/>
  <c r="J245" i="23" s="1"/>
  <c r="K244" i="23"/>
  <c r="I244" i="23"/>
  <c r="J244" i="23" s="1"/>
  <c r="K243" i="23"/>
  <c r="I243" i="23"/>
  <c r="J243" i="23" s="1"/>
  <c r="K242" i="23"/>
  <c r="I242" i="23"/>
  <c r="J242" i="23" s="1"/>
  <c r="K241" i="23"/>
  <c r="J241" i="23"/>
  <c r="K240" i="23"/>
  <c r="J240" i="23"/>
  <c r="K239" i="23"/>
  <c r="I239" i="23"/>
  <c r="J239" i="23" s="1"/>
  <c r="K238" i="23"/>
  <c r="I238" i="23"/>
  <c r="J238" i="23" s="1"/>
  <c r="K237" i="23"/>
  <c r="I237" i="23"/>
  <c r="J237" i="23" s="1"/>
  <c r="K236" i="23"/>
  <c r="I236" i="23"/>
  <c r="J236" i="23" s="1"/>
  <c r="K235" i="23"/>
  <c r="J235" i="23"/>
  <c r="I235" i="23"/>
  <c r="K234" i="23"/>
  <c r="J234" i="23"/>
  <c r="K233" i="23"/>
  <c r="I233" i="23"/>
  <c r="J233" i="23" s="1"/>
  <c r="K232" i="23"/>
  <c r="J232" i="23"/>
  <c r="I232" i="23"/>
  <c r="K231" i="23"/>
  <c r="I231" i="23"/>
  <c r="J231" i="23" s="1"/>
  <c r="K230" i="23"/>
  <c r="J230" i="23"/>
  <c r="I230" i="23"/>
  <c r="K229" i="23"/>
  <c r="J229" i="23"/>
  <c r="I229" i="23"/>
  <c r="K228" i="23"/>
  <c r="I228" i="23"/>
  <c r="J228" i="23" s="1"/>
  <c r="K227" i="23"/>
  <c r="I227" i="23"/>
  <c r="J227" i="23" s="1"/>
  <c r="K226" i="23"/>
  <c r="I226" i="23"/>
  <c r="J226" i="23" s="1"/>
  <c r="K225" i="23"/>
  <c r="I225" i="23"/>
  <c r="J225" i="23" s="1"/>
  <c r="K224" i="23"/>
  <c r="J224" i="23"/>
  <c r="I224" i="23"/>
  <c r="K223" i="23"/>
  <c r="I223" i="23"/>
  <c r="J223" i="23" s="1"/>
  <c r="K222" i="23"/>
  <c r="J222" i="23"/>
  <c r="I222" i="23"/>
  <c r="K221" i="23"/>
  <c r="J221" i="23"/>
  <c r="I221" i="23"/>
  <c r="K220" i="23"/>
  <c r="I220" i="23"/>
  <c r="J220" i="23" s="1"/>
  <c r="K219" i="23"/>
  <c r="I219" i="23"/>
  <c r="J219" i="23" s="1"/>
  <c r="K218" i="23"/>
  <c r="I218" i="23"/>
  <c r="J218" i="23" s="1"/>
  <c r="K217" i="23"/>
  <c r="I217" i="23"/>
  <c r="J217" i="23" s="1"/>
  <c r="K216" i="23"/>
  <c r="J216" i="23"/>
  <c r="I216" i="23"/>
  <c r="K215" i="23"/>
  <c r="I215" i="23"/>
  <c r="J215" i="23" s="1"/>
  <c r="K214" i="23"/>
  <c r="J214" i="23"/>
  <c r="I214" i="23"/>
  <c r="K213" i="23"/>
  <c r="J213" i="23"/>
  <c r="I213" i="23"/>
  <c r="K212" i="23"/>
  <c r="I212" i="23"/>
  <c r="J212" i="23" s="1"/>
  <c r="K211" i="23"/>
  <c r="I211" i="23"/>
  <c r="J211" i="23" s="1"/>
  <c r="K210" i="23"/>
  <c r="I210" i="23"/>
  <c r="J210" i="23" s="1"/>
  <c r="L108" i="12"/>
  <c r="L107" i="12"/>
  <c r="L106" i="12"/>
  <c r="L105" i="12"/>
  <c r="L104" i="12"/>
  <c r="L103" i="12"/>
  <c r="L97" i="12"/>
  <c r="L98" i="12"/>
  <c r="L99" i="12"/>
  <c r="L100" i="12"/>
  <c r="L101" i="12"/>
  <c r="L10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82" i="12"/>
  <c r="L80" i="12"/>
  <c r="L81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59" i="12"/>
  <c r="L60" i="12"/>
  <c r="L61" i="12"/>
  <c r="L62" i="12"/>
  <c r="L53" i="12"/>
  <c r="L54" i="12"/>
  <c r="L55" i="12"/>
  <c r="L56" i="12"/>
  <c r="L57" i="12"/>
  <c r="L58" i="12"/>
  <c r="L44" i="12"/>
  <c r="L45" i="12"/>
  <c r="L46" i="12"/>
  <c r="L47" i="12"/>
  <c r="L48" i="12"/>
  <c r="L49" i="12"/>
  <c r="L50" i="12"/>
  <c r="L51" i="12"/>
  <c r="L52" i="12"/>
  <c r="L41" i="12"/>
  <c r="L42" i="12"/>
  <c r="L43" i="12"/>
  <c r="L39" i="12"/>
  <c r="L40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10" i="12"/>
  <c r="L9" i="12"/>
  <c r="G44" i="26" l="1"/>
  <c r="G117" i="26"/>
  <c r="G118" i="26" s="1"/>
  <c r="G116" i="26"/>
  <c r="G86" i="26"/>
  <c r="G87" i="26"/>
  <c r="G88" i="26" s="1"/>
  <c r="G57" i="26"/>
  <c r="G58" i="26" s="1"/>
  <c r="G56" i="26"/>
  <c r="G24" i="26"/>
  <c r="G25" i="26" s="1"/>
  <c r="G23" i="26"/>
  <c r="G36" i="26"/>
  <c r="G37" i="26" s="1"/>
  <c r="G35" i="26"/>
  <c r="G32" i="26"/>
  <c r="G33" i="26"/>
  <c r="G34" i="26" s="1"/>
  <c r="G15" i="26"/>
  <c r="G16" i="26" s="1"/>
  <c r="G14" i="26"/>
  <c r="G42" i="26"/>
  <c r="G43" i="26" s="1"/>
  <c r="G41" i="26"/>
  <c r="G45" i="26"/>
  <c r="G46" i="26" s="1"/>
  <c r="G12" i="26"/>
  <c r="G13" i="26" s="1"/>
  <c r="G11" i="26"/>
  <c r="G30" i="26"/>
  <c r="G31" i="26" s="1"/>
  <c r="G29" i="26"/>
  <c r="G71" i="26"/>
  <c r="G72" i="26"/>
  <c r="G73" i="26" s="1"/>
  <c r="G98" i="26"/>
  <c r="G99" i="26"/>
  <c r="G100" i="26" s="1"/>
  <c r="G69" i="26"/>
  <c r="G70" i="26" s="1"/>
  <c r="G68" i="26"/>
  <c r="G48" i="26"/>
  <c r="G49" i="26" s="1"/>
  <c r="G47" i="26"/>
  <c r="G84" i="26"/>
  <c r="G85" i="26" s="1"/>
  <c r="G83" i="26"/>
  <c r="I932" i="23"/>
  <c r="J932" i="23" s="1"/>
  <c r="I934" i="23"/>
  <c r="J934" i="23" s="1"/>
  <c r="H44" i="26" l="1"/>
  <c r="H41" i="26"/>
  <c r="J41" i="26" s="1"/>
  <c r="K41" i="26" s="1"/>
  <c r="H11" i="26"/>
  <c r="J11" i="26" s="1"/>
  <c r="K11" i="26" s="1"/>
  <c r="H14" i="26"/>
  <c r="J14" i="26" s="1"/>
  <c r="H47" i="26"/>
  <c r="J47" i="26" s="1"/>
  <c r="K47" i="26" s="1"/>
  <c r="H116" i="26"/>
  <c r="H86" i="26"/>
  <c r="H56" i="26"/>
  <c r="H23" i="26"/>
  <c r="H35" i="26"/>
  <c r="H32" i="26"/>
  <c r="J44" i="26"/>
  <c r="K44" i="26" s="1"/>
  <c r="H29" i="26"/>
  <c r="H71" i="26"/>
  <c r="H98" i="26"/>
  <c r="H68" i="26"/>
  <c r="H83" i="26"/>
  <c r="K66" i="12"/>
  <c r="K65" i="12"/>
  <c r="K63" i="12"/>
  <c r="K56" i="12"/>
  <c r="K43" i="12"/>
  <c r="K48" i="12"/>
  <c r="K49" i="12"/>
  <c r="K42" i="12"/>
  <c r="K39" i="12"/>
  <c r="K38" i="12"/>
  <c r="K21" i="12"/>
  <c r="K28" i="12"/>
  <c r="K18" i="12"/>
  <c r="K17" i="12"/>
  <c r="K206" i="23"/>
  <c r="K108" i="12" s="1"/>
  <c r="I206" i="23"/>
  <c r="J206" i="23" s="1"/>
  <c r="K205" i="23"/>
  <c r="K107" i="12" s="1"/>
  <c r="I205" i="23"/>
  <c r="J205" i="23" s="1"/>
  <c r="K204" i="23"/>
  <c r="K106" i="12" s="1"/>
  <c r="I204" i="23"/>
  <c r="J204" i="23" s="1"/>
  <c r="K203" i="23"/>
  <c r="K105" i="12" s="1"/>
  <c r="I203" i="23"/>
  <c r="J203" i="23" s="1"/>
  <c r="K202" i="23"/>
  <c r="K104" i="12" s="1"/>
  <c r="J202" i="23"/>
  <c r="I202" i="23"/>
  <c r="K201" i="23"/>
  <c r="K103" i="12" s="1"/>
  <c r="I201" i="23"/>
  <c r="J201" i="23" s="1"/>
  <c r="K200" i="23"/>
  <c r="K102" i="12" s="1"/>
  <c r="I200" i="23"/>
  <c r="J200" i="23" s="1"/>
  <c r="K199" i="23"/>
  <c r="K101" i="12" s="1"/>
  <c r="I199" i="23"/>
  <c r="J199" i="23" s="1"/>
  <c r="K198" i="23"/>
  <c r="K100" i="12" s="1"/>
  <c r="J198" i="23"/>
  <c r="K197" i="23"/>
  <c r="K99" i="12" s="1"/>
  <c r="J197" i="23"/>
  <c r="K196" i="23"/>
  <c r="K98" i="12" s="1"/>
  <c r="J196" i="23"/>
  <c r="K195" i="23"/>
  <c r="K97" i="12" s="1"/>
  <c r="J195" i="23"/>
  <c r="I195" i="23"/>
  <c r="K194" i="23"/>
  <c r="K96" i="12" s="1"/>
  <c r="I194" i="23"/>
  <c r="J194" i="23" s="1"/>
  <c r="K193" i="23"/>
  <c r="K95" i="12" s="1"/>
  <c r="I193" i="23"/>
  <c r="J193" i="23" s="1"/>
  <c r="K192" i="23"/>
  <c r="K94" i="12" s="1"/>
  <c r="J192" i="23"/>
  <c r="I192" i="23"/>
  <c r="K191" i="23"/>
  <c r="K93" i="12" s="1"/>
  <c r="I191" i="23"/>
  <c r="J191" i="23" s="1"/>
  <c r="K190" i="23"/>
  <c r="K92" i="12" s="1"/>
  <c r="I190" i="23"/>
  <c r="J190" i="23" s="1"/>
  <c r="K189" i="23"/>
  <c r="K91" i="12" s="1"/>
  <c r="I189" i="23"/>
  <c r="J189" i="23" s="1"/>
  <c r="K188" i="23"/>
  <c r="K90" i="12" s="1"/>
  <c r="I188" i="23"/>
  <c r="J188" i="23" s="1"/>
  <c r="K187" i="23"/>
  <c r="K89" i="12" s="1"/>
  <c r="J187" i="23"/>
  <c r="I187" i="23"/>
  <c r="K186" i="23"/>
  <c r="K88" i="12" s="1"/>
  <c r="I186" i="23"/>
  <c r="J186" i="23" s="1"/>
  <c r="K185" i="23"/>
  <c r="K87" i="12" s="1"/>
  <c r="I185" i="23"/>
  <c r="J185" i="23" s="1"/>
  <c r="K184" i="23"/>
  <c r="K86" i="12" s="1"/>
  <c r="J184" i="23"/>
  <c r="I184" i="23"/>
  <c r="K183" i="23"/>
  <c r="K85" i="12" s="1"/>
  <c r="J183" i="23"/>
  <c r="I183" i="23"/>
  <c r="K182" i="23"/>
  <c r="K84" i="12" s="1"/>
  <c r="I182" i="23"/>
  <c r="J182" i="23" s="1"/>
  <c r="K181" i="23"/>
  <c r="K83" i="12" s="1"/>
  <c r="I181" i="23"/>
  <c r="J181" i="23" s="1"/>
  <c r="K180" i="23"/>
  <c r="K82" i="12" s="1"/>
  <c r="I180" i="23"/>
  <c r="J180" i="23" s="1"/>
  <c r="K179" i="23"/>
  <c r="K81" i="12" s="1"/>
  <c r="J179" i="23"/>
  <c r="K178" i="23"/>
  <c r="K80" i="12" s="1"/>
  <c r="J178" i="23"/>
  <c r="K177" i="23"/>
  <c r="K79" i="12" s="1"/>
  <c r="I177" i="23"/>
  <c r="J177" i="23" s="1"/>
  <c r="K176" i="23"/>
  <c r="K78" i="12" s="1"/>
  <c r="I176" i="23"/>
  <c r="J176" i="23" s="1"/>
  <c r="K175" i="23"/>
  <c r="K77" i="12" s="1"/>
  <c r="I175" i="23"/>
  <c r="J175" i="23" s="1"/>
  <c r="K174" i="23"/>
  <c r="K76" i="12" s="1"/>
  <c r="I174" i="23"/>
  <c r="J174" i="23" s="1"/>
  <c r="K173" i="23"/>
  <c r="K75" i="12" s="1"/>
  <c r="I173" i="23"/>
  <c r="J173" i="23" s="1"/>
  <c r="K172" i="23"/>
  <c r="K74" i="12" s="1"/>
  <c r="I172" i="23"/>
  <c r="J172" i="23" s="1"/>
  <c r="K171" i="23"/>
  <c r="K73" i="12" s="1"/>
  <c r="I171" i="23"/>
  <c r="J171" i="23" s="1"/>
  <c r="K170" i="23"/>
  <c r="K72" i="12" s="1"/>
  <c r="I170" i="23"/>
  <c r="J170" i="23" s="1"/>
  <c r="K169" i="23"/>
  <c r="K71" i="12" s="1"/>
  <c r="I169" i="23"/>
  <c r="J169" i="23" s="1"/>
  <c r="K168" i="23"/>
  <c r="K70" i="12" s="1"/>
  <c r="J168" i="23"/>
  <c r="K167" i="23"/>
  <c r="K69" i="12" s="1"/>
  <c r="I167" i="23"/>
  <c r="J167" i="23" s="1"/>
  <c r="M69" i="12" s="1"/>
  <c r="K166" i="23"/>
  <c r="K68" i="12" s="1"/>
  <c r="I166" i="23"/>
  <c r="J166" i="23" s="1"/>
  <c r="K165" i="23"/>
  <c r="K67" i="12" s="1"/>
  <c r="I165" i="23"/>
  <c r="J165" i="23" s="1"/>
  <c r="K164" i="23"/>
  <c r="I164" i="23"/>
  <c r="J164" i="23" s="1"/>
  <c r="K163" i="23"/>
  <c r="I163" i="23"/>
  <c r="J163" i="23" s="1"/>
  <c r="K162" i="23"/>
  <c r="K64" i="12" s="1"/>
  <c r="I162" i="23"/>
  <c r="J162" i="23" s="1"/>
  <c r="K161" i="23"/>
  <c r="I161" i="23"/>
  <c r="J161" i="23" s="1"/>
  <c r="K160" i="23"/>
  <c r="K62" i="12" s="1"/>
  <c r="I160" i="23"/>
  <c r="J160" i="23" s="1"/>
  <c r="K159" i="23"/>
  <c r="K61" i="12" s="1"/>
  <c r="I159" i="23"/>
  <c r="J159" i="23" s="1"/>
  <c r="K158" i="23"/>
  <c r="K60" i="12" s="1"/>
  <c r="I158" i="23"/>
  <c r="J158" i="23" s="1"/>
  <c r="K157" i="23"/>
  <c r="K59" i="12" s="1"/>
  <c r="I157" i="23"/>
  <c r="J157" i="23" s="1"/>
  <c r="K156" i="23"/>
  <c r="K58" i="12" s="1"/>
  <c r="I156" i="23"/>
  <c r="J156" i="23" s="1"/>
  <c r="K155" i="23"/>
  <c r="K57" i="12" s="1"/>
  <c r="I155" i="23"/>
  <c r="J155" i="23" s="1"/>
  <c r="K154" i="23"/>
  <c r="I154" i="23"/>
  <c r="J154" i="23" s="1"/>
  <c r="K153" i="23"/>
  <c r="K55" i="12" s="1"/>
  <c r="I153" i="23"/>
  <c r="J153" i="23" s="1"/>
  <c r="K152" i="23"/>
  <c r="K54" i="12" s="1"/>
  <c r="I152" i="23"/>
  <c r="J152" i="23" s="1"/>
  <c r="K151" i="23"/>
  <c r="K53" i="12" s="1"/>
  <c r="I151" i="23"/>
  <c r="J151" i="23" s="1"/>
  <c r="K150" i="23"/>
  <c r="K52" i="12" s="1"/>
  <c r="I150" i="23"/>
  <c r="J150" i="23" s="1"/>
  <c r="K149" i="23"/>
  <c r="K51" i="12" s="1"/>
  <c r="I149" i="23"/>
  <c r="J149" i="23" s="1"/>
  <c r="K148" i="23"/>
  <c r="K50" i="12" s="1"/>
  <c r="I148" i="23"/>
  <c r="J148" i="23" s="1"/>
  <c r="K147" i="23"/>
  <c r="I147" i="23"/>
  <c r="J147" i="23" s="1"/>
  <c r="K146" i="23"/>
  <c r="I146" i="23"/>
  <c r="J146" i="23" s="1"/>
  <c r="K145" i="23"/>
  <c r="K47" i="12" s="1"/>
  <c r="I145" i="23"/>
  <c r="J145" i="23" s="1"/>
  <c r="K144" i="23"/>
  <c r="K46" i="12" s="1"/>
  <c r="I144" i="23"/>
  <c r="J144" i="23" s="1"/>
  <c r="K143" i="23"/>
  <c r="K45" i="12" s="1"/>
  <c r="I143" i="23"/>
  <c r="J143" i="23" s="1"/>
  <c r="K142" i="23"/>
  <c r="K44" i="12" s="1"/>
  <c r="I142" i="23"/>
  <c r="J142" i="23" s="1"/>
  <c r="K141" i="23"/>
  <c r="I141" i="23"/>
  <c r="J141" i="23" s="1"/>
  <c r="K140" i="23"/>
  <c r="I140" i="23"/>
  <c r="J140" i="23" s="1"/>
  <c r="K139" i="23"/>
  <c r="K41" i="12" s="1"/>
  <c r="I139" i="23"/>
  <c r="J139" i="23" s="1"/>
  <c r="K138" i="23"/>
  <c r="K40" i="12" s="1"/>
  <c r="J138" i="23"/>
  <c r="K137" i="23"/>
  <c r="J137" i="23"/>
  <c r="K136" i="23"/>
  <c r="I136" i="23"/>
  <c r="J136" i="23" s="1"/>
  <c r="K135" i="23"/>
  <c r="K37" i="12" s="1"/>
  <c r="I135" i="23"/>
  <c r="J135" i="23" s="1"/>
  <c r="K134" i="23"/>
  <c r="K36" i="12" s="1"/>
  <c r="I134" i="23"/>
  <c r="J134" i="23" s="1"/>
  <c r="K133" i="23"/>
  <c r="K35" i="12" s="1"/>
  <c r="I133" i="23"/>
  <c r="J133" i="23" s="1"/>
  <c r="K132" i="23"/>
  <c r="K34" i="12" s="1"/>
  <c r="I132" i="23"/>
  <c r="J132" i="23" s="1"/>
  <c r="K131" i="23"/>
  <c r="K33" i="12" s="1"/>
  <c r="J131" i="23"/>
  <c r="K130" i="23"/>
  <c r="K32" i="12" s="1"/>
  <c r="I130" i="23"/>
  <c r="J130" i="23" s="1"/>
  <c r="K129" i="23"/>
  <c r="K31" i="12" s="1"/>
  <c r="I129" i="23"/>
  <c r="J129" i="23" s="1"/>
  <c r="K128" i="23"/>
  <c r="K30" i="12" s="1"/>
  <c r="I128" i="23"/>
  <c r="J128" i="23" s="1"/>
  <c r="K127" i="23"/>
  <c r="K29" i="12" s="1"/>
  <c r="J127" i="23"/>
  <c r="I127" i="23"/>
  <c r="K126" i="23"/>
  <c r="I126" i="23"/>
  <c r="J126" i="23" s="1"/>
  <c r="K125" i="23"/>
  <c r="K27" i="12" s="1"/>
  <c r="I125" i="23"/>
  <c r="J125" i="23" s="1"/>
  <c r="K124" i="23"/>
  <c r="K26" i="12" s="1"/>
  <c r="I124" i="23"/>
  <c r="J124" i="23" s="1"/>
  <c r="K123" i="23"/>
  <c r="K25" i="12" s="1"/>
  <c r="I123" i="23"/>
  <c r="J123" i="23" s="1"/>
  <c r="K122" i="23"/>
  <c r="K24" i="12" s="1"/>
  <c r="I122" i="23"/>
  <c r="J122" i="23" s="1"/>
  <c r="K121" i="23"/>
  <c r="K23" i="12" s="1"/>
  <c r="J121" i="23"/>
  <c r="I121" i="23"/>
  <c r="K120" i="23"/>
  <c r="K22" i="12" s="1"/>
  <c r="I120" i="23"/>
  <c r="J120" i="23" s="1"/>
  <c r="K119" i="23"/>
  <c r="I119" i="23"/>
  <c r="J119" i="23" s="1"/>
  <c r="K118" i="23"/>
  <c r="K20" i="12" s="1"/>
  <c r="J118" i="23"/>
  <c r="I118" i="23"/>
  <c r="K117" i="23"/>
  <c r="K19" i="12" s="1"/>
  <c r="I117" i="23"/>
  <c r="J117" i="23" s="1"/>
  <c r="K116" i="23"/>
  <c r="I116" i="23"/>
  <c r="J116" i="23" s="1"/>
  <c r="K115" i="23"/>
  <c r="I115" i="23"/>
  <c r="J115" i="23" s="1"/>
  <c r="K114" i="23"/>
  <c r="K16" i="12" s="1"/>
  <c r="I114" i="23"/>
  <c r="J114" i="23" s="1"/>
  <c r="K113" i="23"/>
  <c r="K15" i="12" s="1"/>
  <c r="J113" i="23"/>
  <c r="I113" i="23"/>
  <c r="K112" i="23"/>
  <c r="K14" i="12" s="1"/>
  <c r="I112" i="23"/>
  <c r="J112" i="23" s="1"/>
  <c r="K111" i="23"/>
  <c r="K13" i="12" s="1"/>
  <c r="I111" i="23"/>
  <c r="J111" i="23" s="1"/>
  <c r="K110" i="23"/>
  <c r="K12" i="12" s="1"/>
  <c r="J110" i="23"/>
  <c r="I110" i="23"/>
  <c r="K109" i="23"/>
  <c r="K11" i="12" s="1"/>
  <c r="I109" i="23"/>
  <c r="J109" i="23" s="1"/>
  <c r="K108" i="23"/>
  <c r="K10" i="12" s="1"/>
  <c r="I108" i="23"/>
  <c r="J108" i="23" s="1"/>
  <c r="K107" i="23"/>
  <c r="K9" i="12" s="1"/>
  <c r="I107" i="23"/>
  <c r="J107" i="23" s="1"/>
  <c r="H108" i="12"/>
  <c r="H107" i="12"/>
  <c r="H106" i="12"/>
  <c r="H105" i="12"/>
  <c r="H104" i="12"/>
  <c r="H103" i="12"/>
  <c r="H102" i="12"/>
  <c r="H101" i="12"/>
  <c r="H98" i="12"/>
  <c r="H99" i="12"/>
  <c r="H100" i="12"/>
  <c r="H96" i="12"/>
  <c r="H97" i="12"/>
  <c r="H94" i="12"/>
  <c r="H95" i="12"/>
  <c r="H92" i="12"/>
  <c r="H93" i="12"/>
  <c r="H90" i="12"/>
  <c r="H91" i="12"/>
  <c r="H89" i="12"/>
  <c r="H88" i="12"/>
  <c r="H87" i="12"/>
  <c r="H83" i="12"/>
  <c r="H84" i="12"/>
  <c r="H85" i="12"/>
  <c r="H86" i="12"/>
  <c r="H82" i="12"/>
  <c r="H80" i="12"/>
  <c r="H81" i="12"/>
  <c r="H77" i="12"/>
  <c r="H78" i="12"/>
  <c r="H79" i="12"/>
  <c r="H75" i="12"/>
  <c r="H76" i="12"/>
  <c r="H73" i="12"/>
  <c r="H74" i="12"/>
  <c r="H71" i="12"/>
  <c r="H72" i="12"/>
  <c r="H70" i="12"/>
  <c r="H69" i="12"/>
  <c r="H66" i="12"/>
  <c r="H67" i="12"/>
  <c r="H68" i="12"/>
  <c r="H64" i="12"/>
  <c r="H65" i="12"/>
  <c r="H60" i="12"/>
  <c r="H61" i="12"/>
  <c r="H62" i="12"/>
  <c r="H63" i="12"/>
  <c r="H57" i="12"/>
  <c r="H58" i="12"/>
  <c r="H59" i="12"/>
  <c r="H55" i="12"/>
  <c r="H56" i="12"/>
  <c r="H53" i="12"/>
  <c r="H54" i="12"/>
  <c r="H51" i="12"/>
  <c r="H52" i="12"/>
  <c r="H50" i="12"/>
  <c r="H49" i="12"/>
  <c r="H48" i="12"/>
  <c r="H47" i="12"/>
  <c r="H46" i="12"/>
  <c r="H45" i="12"/>
  <c r="H44" i="12"/>
  <c r="H43" i="12"/>
  <c r="H42" i="12"/>
  <c r="H41" i="12"/>
  <c r="H39" i="12"/>
  <c r="H40" i="12"/>
  <c r="H38" i="12"/>
  <c r="H37" i="12"/>
  <c r="H36" i="12"/>
  <c r="H35" i="12"/>
  <c r="H34" i="12"/>
  <c r="H33" i="12"/>
  <c r="H22" i="12"/>
  <c r="H23" i="12"/>
  <c r="H24" i="12"/>
  <c r="H25" i="12"/>
  <c r="H26" i="12"/>
  <c r="H27" i="12"/>
  <c r="H28" i="12"/>
  <c r="H29" i="12"/>
  <c r="H30" i="12"/>
  <c r="H31" i="12"/>
  <c r="H32" i="12"/>
  <c r="H17" i="12"/>
  <c r="H18" i="12"/>
  <c r="H19" i="12"/>
  <c r="H20" i="12"/>
  <c r="H21" i="12"/>
  <c r="H16" i="12"/>
  <c r="H15" i="12"/>
  <c r="H14" i="12"/>
  <c r="H13" i="12"/>
  <c r="H12" i="12"/>
  <c r="H11" i="12"/>
  <c r="H10" i="12"/>
  <c r="H9" i="12"/>
  <c r="K102" i="23"/>
  <c r="G108" i="12" s="1"/>
  <c r="I102" i="23"/>
  <c r="J102" i="23" s="1"/>
  <c r="I108" i="12" s="1"/>
  <c r="K101" i="23"/>
  <c r="G107" i="12" s="1"/>
  <c r="I101" i="23"/>
  <c r="J101" i="23" s="1"/>
  <c r="I107" i="12" s="1"/>
  <c r="K100" i="23"/>
  <c r="G106" i="12" s="1"/>
  <c r="I100" i="23"/>
  <c r="J100" i="23" s="1"/>
  <c r="I106" i="12" s="1"/>
  <c r="K99" i="23"/>
  <c r="G105" i="12" s="1"/>
  <c r="I99" i="23"/>
  <c r="J99" i="23" s="1"/>
  <c r="I105" i="12" s="1"/>
  <c r="K98" i="23"/>
  <c r="G104" i="12" s="1"/>
  <c r="I98" i="23"/>
  <c r="J98" i="23" s="1"/>
  <c r="I104" i="12" s="1"/>
  <c r="K97" i="23"/>
  <c r="G103" i="12" s="1"/>
  <c r="I97" i="23"/>
  <c r="J97" i="23" s="1"/>
  <c r="I103" i="12" s="1"/>
  <c r="K96" i="23"/>
  <c r="G102" i="12" s="1"/>
  <c r="I96" i="23"/>
  <c r="J96" i="23" s="1"/>
  <c r="I102" i="12" s="1"/>
  <c r="K95" i="23"/>
  <c r="G101" i="12" s="1"/>
  <c r="I95" i="23"/>
  <c r="J95" i="23" s="1"/>
  <c r="I101" i="12" s="1"/>
  <c r="K94" i="23"/>
  <c r="G100" i="12" s="1"/>
  <c r="J94" i="23"/>
  <c r="I100" i="12" s="1"/>
  <c r="K93" i="23"/>
  <c r="G99" i="12" s="1"/>
  <c r="J93" i="23"/>
  <c r="I99" i="12" s="1"/>
  <c r="K92" i="23"/>
  <c r="G98" i="12" s="1"/>
  <c r="J92" i="23"/>
  <c r="I98" i="12" s="1"/>
  <c r="K91" i="23"/>
  <c r="G97" i="12" s="1"/>
  <c r="I91" i="23"/>
  <c r="J91" i="23" s="1"/>
  <c r="I97" i="12" s="1"/>
  <c r="K90" i="23"/>
  <c r="G96" i="12" s="1"/>
  <c r="I90" i="23"/>
  <c r="J90" i="23" s="1"/>
  <c r="I96" i="12" s="1"/>
  <c r="K89" i="23"/>
  <c r="G95" i="12" s="1"/>
  <c r="I89" i="23"/>
  <c r="J89" i="23" s="1"/>
  <c r="I95" i="12" s="1"/>
  <c r="K88" i="23"/>
  <c r="G94" i="12" s="1"/>
  <c r="I88" i="23"/>
  <c r="J88" i="23" s="1"/>
  <c r="I94" i="12" s="1"/>
  <c r="K87" i="23"/>
  <c r="G93" i="12" s="1"/>
  <c r="I87" i="23"/>
  <c r="J87" i="23" s="1"/>
  <c r="I93" i="12" s="1"/>
  <c r="K86" i="23"/>
  <c r="G92" i="12" s="1"/>
  <c r="I86" i="23"/>
  <c r="J86" i="23" s="1"/>
  <c r="I92" i="12" s="1"/>
  <c r="K85" i="23"/>
  <c r="G91" i="12" s="1"/>
  <c r="I85" i="23"/>
  <c r="J85" i="23" s="1"/>
  <c r="I91" i="12" s="1"/>
  <c r="K84" i="23"/>
  <c r="G90" i="12" s="1"/>
  <c r="I84" i="23"/>
  <c r="J84" i="23" s="1"/>
  <c r="I90" i="12" s="1"/>
  <c r="K83" i="23"/>
  <c r="G89" i="12" s="1"/>
  <c r="I83" i="23"/>
  <c r="J83" i="23" s="1"/>
  <c r="I89" i="12" s="1"/>
  <c r="K82" i="23"/>
  <c r="G88" i="12" s="1"/>
  <c r="I82" i="23"/>
  <c r="J82" i="23" s="1"/>
  <c r="I88" i="12" s="1"/>
  <c r="K81" i="23"/>
  <c r="G87" i="12" s="1"/>
  <c r="I81" i="23"/>
  <c r="J81" i="23" s="1"/>
  <c r="I87" i="12" s="1"/>
  <c r="K80" i="23"/>
  <c r="G86" i="12" s="1"/>
  <c r="I80" i="23"/>
  <c r="J80" i="23" s="1"/>
  <c r="I86" i="12" s="1"/>
  <c r="K79" i="23"/>
  <c r="G85" i="12" s="1"/>
  <c r="I79" i="23"/>
  <c r="J79" i="23" s="1"/>
  <c r="I85" i="12" s="1"/>
  <c r="K78" i="23"/>
  <c r="G84" i="12" s="1"/>
  <c r="I78" i="23"/>
  <c r="J78" i="23" s="1"/>
  <c r="I84" i="12" s="1"/>
  <c r="K77" i="23"/>
  <c r="G83" i="12" s="1"/>
  <c r="I77" i="23"/>
  <c r="J77" i="23" s="1"/>
  <c r="I83" i="12" s="1"/>
  <c r="K76" i="23"/>
  <c r="G82" i="12" s="1"/>
  <c r="I76" i="23"/>
  <c r="J76" i="23" s="1"/>
  <c r="I82" i="12" s="1"/>
  <c r="K75" i="23"/>
  <c r="G81" i="12" s="1"/>
  <c r="J75" i="23"/>
  <c r="I81" i="12" s="1"/>
  <c r="K74" i="23"/>
  <c r="G80" i="12" s="1"/>
  <c r="J74" i="23"/>
  <c r="I80" i="12" s="1"/>
  <c r="K73" i="23"/>
  <c r="G79" i="12" s="1"/>
  <c r="I73" i="23"/>
  <c r="J73" i="23" s="1"/>
  <c r="I79" i="12" s="1"/>
  <c r="K72" i="23"/>
  <c r="G78" i="12" s="1"/>
  <c r="I72" i="23"/>
  <c r="J72" i="23" s="1"/>
  <c r="I78" i="12" s="1"/>
  <c r="K71" i="23"/>
  <c r="G77" i="12" s="1"/>
  <c r="I71" i="23"/>
  <c r="J71" i="23" s="1"/>
  <c r="I77" i="12" s="1"/>
  <c r="K70" i="23"/>
  <c r="G76" i="12" s="1"/>
  <c r="I70" i="23"/>
  <c r="J70" i="23" s="1"/>
  <c r="I76" i="12" s="1"/>
  <c r="K69" i="23"/>
  <c r="G75" i="12" s="1"/>
  <c r="I69" i="23"/>
  <c r="J69" i="23" s="1"/>
  <c r="I75" i="12" s="1"/>
  <c r="K68" i="23"/>
  <c r="G74" i="12" s="1"/>
  <c r="I68" i="23"/>
  <c r="J68" i="23" s="1"/>
  <c r="I74" i="12" s="1"/>
  <c r="K67" i="23"/>
  <c r="G73" i="12" s="1"/>
  <c r="I67" i="23"/>
  <c r="J67" i="23" s="1"/>
  <c r="I73" i="12" s="1"/>
  <c r="K66" i="23"/>
  <c r="G72" i="12" s="1"/>
  <c r="I66" i="23"/>
  <c r="J66" i="23" s="1"/>
  <c r="I72" i="12" s="1"/>
  <c r="K65" i="23"/>
  <c r="G71" i="12" s="1"/>
  <c r="I65" i="23"/>
  <c r="J65" i="23" s="1"/>
  <c r="I71" i="12" s="1"/>
  <c r="K64" i="23"/>
  <c r="G70" i="12" s="1"/>
  <c r="J64" i="23"/>
  <c r="I70" i="12" s="1"/>
  <c r="K63" i="23"/>
  <c r="G69" i="12" s="1"/>
  <c r="I63" i="23"/>
  <c r="J63" i="23" s="1"/>
  <c r="I69" i="12" s="1"/>
  <c r="K62" i="23"/>
  <c r="G68" i="12" s="1"/>
  <c r="I62" i="23"/>
  <c r="J62" i="23" s="1"/>
  <c r="I68" i="12" s="1"/>
  <c r="K61" i="23"/>
  <c r="G67" i="12" s="1"/>
  <c r="I61" i="23"/>
  <c r="J61" i="23" s="1"/>
  <c r="I67" i="12" s="1"/>
  <c r="K60" i="23"/>
  <c r="G66" i="12" s="1"/>
  <c r="I60" i="23"/>
  <c r="J60" i="23" s="1"/>
  <c r="I66" i="12" s="1"/>
  <c r="K59" i="23"/>
  <c r="G65" i="12" s="1"/>
  <c r="I59" i="23"/>
  <c r="J59" i="23" s="1"/>
  <c r="I65" i="12" s="1"/>
  <c r="K58" i="23"/>
  <c r="G64" i="12" s="1"/>
  <c r="I58" i="23"/>
  <c r="J58" i="23" s="1"/>
  <c r="I64" i="12" s="1"/>
  <c r="K57" i="23"/>
  <c r="G63" i="12" s="1"/>
  <c r="I57" i="23"/>
  <c r="J57" i="23" s="1"/>
  <c r="I63" i="12" s="1"/>
  <c r="K56" i="23"/>
  <c r="G62" i="12" s="1"/>
  <c r="I56" i="23"/>
  <c r="J56" i="23" s="1"/>
  <c r="I62" i="12" s="1"/>
  <c r="K55" i="23"/>
  <c r="G61" i="12" s="1"/>
  <c r="I55" i="23"/>
  <c r="J55" i="23" s="1"/>
  <c r="I61" i="12" s="1"/>
  <c r="K54" i="23"/>
  <c r="G60" i="12" s="1"/>
  <c r="I54" i="23"/>
  <c r="J54" i="23" s="1"/>
  <c r="I60" i="12" s="1"/>
  <c r="K53" i="23"/>
  <c r="G59" i="12" s="1"/>
  <c r="I53" i="23"/>
  <c r="J53" i="23" s="1"/>
  <c r="I59" i="12" s="1"/>
  <c r="K52" i="23"/>
  <c r="G58" i="12" s="1"/>
  <c r="I52" i="23"/>
  <c r="J52" i="23" s="1"/>
  <c r="I58" i="12" s="1"/>
  <c r="K51" i="23"/>
  <c r="G57" i="12" s="1"/>
  <c r="I51" i="23"/>
  <c r="J51" i="23" s="1"/>
  <c r="I57" i="12" s="1"/>
  <c r="K50" i="23"/>
  <c r="G56" i="12" s="1"/>
  <c r="I50" i="23"/>
  <c r="J50" i="23" s="1"/>
  <c r="I56" i="12" s="1"/>
  <c r="K49" i="23"/>
  <c r="G55" i="12" s="1"/>
  <c r="I49" i="23"/>
  <c r="J49" i="23" s="1"/>
  <c r="I55" i="12" s="1"/>
  <c r="K48" i="23"/>
  <c r="G54" i="12" s="1"/>
  <c r="I48" i="23"/>
  <c r="J48" i="23" s="1"/>
  <c r="I54" i="12" s="1"/>
  <c r="K47" i="23"/>
  <c r="G53" i="12" s="1"/>
  <c r="I47" i="23"/>
  <c r="J47" i="23" s="1"/>
  <c r="I53" i="12" s="1"/>
  <c r="K46" i="23"/>
  <c r="G52" i="12" s="1"/>
  <c r="I46" i="23"/>
  <c r="J46" i="23" s="1"/>
  <c r="I52" i="12" s="1"/>
  <c r="K45" i="23"/>
  <c r="G51" i="12" s="1"/>
  <c r="I45" i="23"/>
  <c r="J45" i="23" s="1"/>
  <c r="I51" i="12" s="1"/>
  <c r="K44" i="23"/>
  <c r="G50" i="12" s="1"/>
  <c r="I44" i="23"/>
  <c r="J44" i="23" s="1"/>
  <c r="I50" i="12" s="1"/>
  <c r="K43" i="23"/>
  <c r="G49" i="12" s="1"/>
  <c r="I43" i="23"/>
  <c r="J43" i="23" s="1"/>
  <c r="I49" i="12" s="1"/>
  <c r="K42" i="23"/>
  <c r="G48" i="12" s="1"/>
  <c r="I42" i="23"/>
  <c r="J42" i="23" s="1"/>
  <c r="I48" i="12" s="1"/>
  <c r="K41" i="23"/>
  <c r="G47" i="12" s="1"/>
  <c r="I41" i="23"/>
  <c r="J41" i="23" s="1"/>
  <c r="I47" i="12" s="1"/>
  <c r="K40" i="23"/>
  <c r="G46" i="12" s="1"/>
  <c r="I40" i="23"/>
  <c r="J40" i="23" s="1"/>
  <c r="I46" i="12" s="1"/>
  <c r="K39" i="23"/>
  <c r="G45" i="12" s="1"/>
  <c r="I39" i="23"/>
  <c r="J39" i="23" s="1"/>
  <c r="I45" i="12" s="1"/>
  <c r="K38" i="23"/>
  <c r="G44" i="12" s="1"/>
  <c r="I38" i="23"/>
  <c r="J38" i="23" s="1"/>
  <c r="I44" i="12" s="1"/>
  <c r="K37" i="23"/>
  <c r="G43" i="12" s="1"/>
  <c r="I37" i="23"/>
  <c r="J37" i="23" s="1"/>
  <c r="I43" i="12" s="1"/>
  <c r="K36" i="23"/>
  <c r="G42" i="12" s="1"/>
  <c r="I36" i="23"/>
  <c r="J36" i="23" s="1"/>
  <c r="I42" i="12" s="1"/>
  <c r="K35" i="23"/>
  <c r="G41" i="12" s="1"/>
  <c r="I35" i="23"/>
  <c r="J35" i="23" s="1"/>
  <c r="I41" i="12" s="1"/>
  <c r="K34" i="23"/>
  <c r="G40" i="12" s="1"/>
  <c r="J34" i="23"/>
  <c r="I40" i="12" s="1"/>
  <c r="K33" i="23"/>
  <c r="G39" i="12" s="1"/>
  <c r="J33" i="23"/>
  <c r="I39" i="12" s="1"/>
  <c r="K32" i="23"/>
  <c r="G38" i="12" s="1"/>
  <c r="I32" i="23"/>
  <c r="J32" i="23" s="1"/>
  <c r="I38" i="12" s="1"/>
  <c r="K31" i="23"/>
  <c r="G37" i="12" s="1"/>
  <c r="I31" i="23"/>
  <c r="J31" i="23" s="1"/>
  <c r="I37" i="12" s="1"/>
  <c r="K30" i="23"/>
  <c r="G36" i="12" s="1"/>
  <c r="I30" i="23"/>
  <c r="J30" i="23" s="1"/>
  <c r="I36" i="12" s="1"/>
  <c r="K29" i="23"/>
  <c r="G35" i="12" s="1"/>
  <c r="I29" i="23"/>
  <c r="J29" i="23" s="1"/>
  <c r="I35" i="12" s="1"/>
  <c r="K28" i="23"/>
  <c r="G34" i="12" s="1"/>
  <c r="I28" i="23"/>
  <c r="J28" i="23" s="1"/>
  <c r="I34" i="12" s="1"/>
  <c r="K27" i="23"/>
  <c r="G33" i="12" s="1"/>
  <c r="J27" i="23"/>
  <c r="I33" i="12" s="1"/>
  <c r="K26" i="23"/>
  <c r="G32" i="12" s="1"/>
  <c r="I26" i="23"/>
  <c r="J26" i="23" s="1"/>
  <c r="I32" i="12" s="1"/>
  <c r="K25" i="23"/>
  <c r="G31" i="12" s="1"/>
  <c r="I25" i="23"/>
  <c r="J25" i="23" s="1"/>
  <c r="I31" i="12" s="1"/>
  <c r="K24" i="23"/>
  <c r="G30" i="12" s="1"/>
  <c r="I24" i="23"/>
  <c r="J24" i="23" s="1"/>
  <c r="I30" i="12" s="1"/>
  <c r="K23" i="23"/>
  <c r="G29" i="12" s="1"/>
  <c r="I23" i="23"/>
  <c r="J23" i="23" s="1"/>
  <c r="I29" i="12" s="1"/>
  <c r="K22" i="23"/>
  <c r="G28" i="12" s="1"/>
  <c r="I22" i="23"/>
  <c r="J22" i="23" s="1"/>
  <c r="I28" i="12" s="1"/>
  <c r="K21" i="23"/>
  <c r="G27" i="12" s="1"/>
  <c r="I21" i="23"/>
  <c r="J21" i="23" s="1"/>
  <c r="I27" i="12" s="1"/>
  <c r="K20" i="23"/>
  <c r="G26" i="12" s="1"/>
  <c r="I20" i="23"/>
  <c r="J20" i="23" s="1"/>
  <c r="I26" i="12" s="1"/>
  <c r="K19" i="23"/>
  <c r="G25" i="12" s="1"/>
  <c r="I19" i="23"/>
  <c r="J19" i="23" s="1"/>
  <c r="I25" i="12" s="1"/>
  <c r="K18" i="23"/>
  <c r="G24" i="12" s="1"/>
  <c r="I18" i="23"/>
  <c r="J18" i="23" s="1"/>
  <c r="I24" i="12" s="1"/>
  <c r="K17" i="23"/>
  <c r="G23" i="12" s="1"/>
  <c r="I17" i="23"/>
  <c r="J17" i="23" s="1"/>
  <c r="I23" i="12" s="1"/>
  <c r="K16" i="23"/>
  <c r="G22" i="12" s="1"/>
  <c r="I16" i="23"/>
  <c r="J16" i="23" s="1"/>
  <c r="I22" i="12" s="1"/>
  <c r="K15" i="23"/>
  <c r="G21" i="12" s="1"/>
  <c r="I15" i="23"/>
  <c r="J15" i="23" s="1"/>
  <c r="I21" i="12" s="1"/>
  <c r="K14" i="23"/>
  <c r="G20" i="12" s="1"/>
  <c r="I14" i="23"/>
  <c r="J14" i="23" s="1"/>
  <c r="I20" i="12" s="1"/>
  <c r="K13" i="23"/>
  <c r="G19" i="12" s="1"/>
  <c r="I13" i="23"/>
  <c r="J13" i="23" s="1"/>
  <c r="I19" i="12" s="1"/>
  <c r="K12" i="23"/>
  <c r="G18" i="12" s="1"/>
  <c r="I12" i="23"/>
  <c r="J12" i="23" s="1"/>
  <c r="I18" i="12" s="1"/>
  <c r="K11" i="23"/>
  <c r="G17" i="12" s="1"/>
  <c r="I11" i="23"/>
  <c r="J11" i="23" s="1"/>
  <c r="I17" i="12" s="1"/>
  <c r="K10" i="23"/>
  <c r="G16" i="12" s="1"/>
  <c r="I10" i="23"/>
  <c r="J10" i="23" s="1"/>
  <c r="I16" i="12" s="1"/>
  <c r="K9" i="23"/>
  <c r="G15" i="12" s="1"/>
  <c r="I9" i="23"/>
  <c r="J9" i="23" s="1"/>
  <c r="I15" i="12" s="1"/>
  <c r="K8" i="23"/>
  <c r="G14" i="12" s="1"/>
  <c r="I8" i="23"/>
  <c r="J8" i="23" s="1"/>
  <c r="I14" i="12" s="1"/>
  <c r="K7" i="23"/>
  <c r="G13" i="12" s="1"/>
  <c r="I7" i="23"/>
  <c r="J7" i="23" s="1"/>
  <c r="I13" i="12" s="1"/>
  <c r="K6" i="23"/>
  <c r="G12" i="12" s="1"/>
  <c r="I6" i="23"/>
  <c r="J6" i="23" s="1"/>
  <c r="I12" i="12" s="1"/>
  <c r="K5" i="23"/>
  <c r="G11" i="12" s="1"/>
  <c r="I5" i="23"/>
  <c r="J5" i="23" s="1"/>
  <c r="I11" i="12" s="1"/>
  <c r="K4" i="23"/>
  <c r="G10" i="12" s="1"/>
  <c r="I4" i="23"/>
  <c r="J4" i="23" s="1"/>
  <c r="I10" i="12" s="1"/>
  <c r="K3" i="23"/>
  <c r="G9" i="12" s="1"/>
  <c r="I3" i="23"/>
  <c r="I9" i="12" s="1"/>
  <c r="K14" i="26" l="1"/>
  <c r="J116" i="26"/>
  <c r="K116" i="26" s="1"/>
  <c r="J86" i="26"/>
  <c r="K86" i="26" s="1"/>
  <c r="J56" i="26"/>
  <c r="K56" i="26" s="1"/>
  <c r="J23" i="26"/>
  <c r="K23" i="26" s="1"/>
  <c r="J35" i="26"/>
  <c r="K35" i="26" s="1"/>
  <c r="J32" i="26"/>
  <c r="K32" i="26" s="1"/>
  <c r="J29" i="26"/>
  <c r="K29" i="26" s="1"/>
  <c r="J71" i="26"/>
  <c r="K71" i="26" s="1"/>
  <c r="J98" i="26"/>
  <c r="K98" i="26" s="1"/>
  <c r="J68" i="26"/>
  <c r="K68" i="26" s="1"/>
  <c r="J83" i="26"/>
  <c r="K83" i="26" s="1"/>
  <c r="AF140" i="22"/>
  <c r="AE140" i="22"/>
  <c r="N30" i="4" s="1"/>
  <c r="AD140" i="22"/>
  <c r="I30" i="4" s="1"/>
  <c r="AC140" i="22"/>
  <c r="AB140" i="22"/>
  <c r="M30" i="4" s="1"/>
  <c r="AA140" i="22"/>
  <c r="H30" i="4" s="1"/>
  <c r="Z140" i="22"/>
  <c r="Y140" i="22"/>
  <c r="X140" i="22"/>
  <c r="G30" i="4" s="1"/>
  <c r="W140" i="22"/>
  <c r="V140" i="22"/>
  <c r="K30" i="4" s="1"/>
  <c r="U140" i="22"/>
  <c r="F30" i="4" s="1"/>
  <c r="T140" i="22"/>
  <c r="S140" i="22"/>
  <c r="R140" i="22"/>
  <c r="E30" i="4" s="1"/>
  <c r="Q140" i="22"/>
  <c r="P140" i="22"/>
  <c r="O140" i="22"/>
  <c r="I29" i="3" s="1"/>
  <c r="N140" i="22"/>
  <c r="M140" i="22"/>
  <c r="M29" i="3" s="1"/>
  <c r="H29" i="3"/>
  <c r="K140" i="22"/>
  <c r="J140" i="22"/>
  <c r="G29" i="3"/>
  <c r="H140" i="22"/>
  <c r="G140" i="22"/>
  <c r="K29" i="3" s="1"/>
  <c r="F29" i="3"/>
  <c r="E140" i="22"/>
  <c r="D140" i="22"/>
  <c r="J29" i="3" s="1"/>
  <c r="E29" i="3"/>
  <c r="AF132" i="22"/>
  <c r="AE132" i="22"/>
  <c r="AD132" i="22"/>
  <c r="I29" i="4" s="1"/>
  <c r="AC132" i="22"/>
  <c r="AB132" i="22"/>
  <c r="M29" i="4" s="1"/>
  <c r="AA132" i="22"/>
  <c r="H29" i="4" s="1"/>
  <c r="Z132" i="22"/>
  <c r="Y132" i="22"/>
  <c r="X132" i="22"/>
  <c r="G29" i="4" s="1"/>
  <c r="W132" i="22"/>
  <c r="V132" i="22"/>
  <c r="U132" i="22"/>
  <c r="F29" i="4" s="1"/>
  <c r="T132" i="22"/>
  <c r="S132" i="22"/>
  <c r="J29" i="4" s="1"/>
  <c r="R132" i="22"/>
  <c r="E29" i="4" s="1"/>
  <c r="Q132" i="22"/>
  <c r="P132" i="22"/>
  <c r="O132" i="22"/>
  <c r="I28" i="3" s="1"/>
  <c r="N132" i="22"/>
  <c r="M132" i="22"/>
  <c r="M28" i="3" s="1"/>
  <c r="H28" i="3"/>
  <c r="K132" i="22"/>
  <c r="J132" i="22"/>
  <c r="G28" i="3"/>
  <c r="H132" i="22"/>
  <c r="G132" i="22"/>
  <c r="F28" i="3"/>
  <c r="E132" i="22"/>
  <c r="D132" i="22"/>
  <c r="J28" i="3" s="1"/>
  <c r="E28" i="3"/>
  <c r="AF127" i="22"/>
  <c r="AE127" i="22"/>
  <c r="N28" i="4" s="1"/>
  <c r="AD127" i="22"/>
  <c r="I28" i="4" s="1"/>
  <c r="AC127" i="22"/>
  <c r="AB127" i="22"/>
  <c r="AA127" i="22"/>
  <c r="H28" i="4" s="1"/>
  <c r="Z127" i="22"/>
  <c r="Y127" i="22"/>
  <c r="L28" i="4" s="1"/>
  <c r="X127" i="22"/>
  <c r="G28" i="4" s="1"/>
  <c r="W127" i="22"/>
  <c r="V127" i="22"/>
  <c r="U127" i="22"/>
  <c r="F28" i="4" s="1"/>
  <c r="T127" i="22"/>
  <c r="S127" i="22"/>
  <c r="J28" i="4" s="1"/>
  <c r="R127" i="22"/>
  <c r="E28" i="4" s="1"/>
  <c r="Q127" i="22"/>
  <c r="P127" i="22"/>
  <c r="N27" i="3" s="1"/>
  <c r="O127" i="22"/>
  <c r="I27" i="3" s="1"/>
  <c r="N127" i="22"/>
  <c r="M27" i="3" s="1"/>
  <c r="M127" i="22"/>
  <c r="H27" i="3"/>
  <c r="K127" i="22"/>
  <c r="J127" i="22"/>
  <c r="L27" i="3" s="1"/>
  <c r="G27" i="3"/>
  <c r="H127" i="22"/>
  <c r="G127" i="22"/>
  <c r="K27" i="3" s="1"/>
  <c r="F27" i="3"/>
  <c r="E127" i="22"/>
  <c r="D127" i="22"/>
  <c r="E27" i="3"/>
  <c r="AF121" i="22"/>
  <c r="AE121" i="22"/>
  <c r="N27" i="4" s="1"/>
  <c r="AD121" i="22"/>
  <c r="I27" i="4" s="1"/>
  <c r="AC121" i="22"/>
  <c r="AB121" i="22"/>
  <c r="AA121" i="22"/>
  <c r="H27" i="4" s="1"/>
  <c r="Z121" i="22"/>
  <c r="Y121" i="22"/>
  <c r="L27" i="4" s="1"/>
  <c r="X121" i="22"/>
  <c r="G27" i="4" s="1"/>
  <c r="W121" i="22"/>
  <c r="V121" i="22"/>
  <c r="U121" i="22"/>
  <c r="F27" i="4" s="1"/>
  <c r="T121" i="22"/>
  <c r="S121" i="22"/>
  <c r="R121" i="22"/>
  <c r="E27" i="4" s="1"/>
  <c r="Q121" i="22"/>
  <c r="P121" i="22"/>
  <c r="N26" i="3" s="1"/>
  <c r="O121" i="22"/>
  <c r="I26" i="3" s="1"/>
  <c r="N121" i="22"/>
  <c r="M121" i="22"/>
  <c r="M26" i="3" s="1"/>
  <c r="H26" i="3"/>
  <c r="K121" i="22"/>
  <c r="J121" i="22"/>
  <c r="G26" i="3"/>
  <c r="H121" i="22"/>
  <c r="G121" i="22"/>
  <c r="K26" i="3" s="1"/>
  <c r="F26" i="3"/>
  <c r="E121" i="22"/>
  <c r="D121" i="22"/>
  <c r="E26" i="3"/>
  <c r="AF115" i="22"/>
  <c r="AE115" i="22"/>
  <c r="N26" i="4" s="1"/>
  <c r="AD115" i="22"/>
  <c r="I26" i="4" s="1"/>
  <c r="AC115" i="22"/>
  <c r="AB115" i="22"/>
  <c r="M26" i="4" s="1"/>
  <c r="AA115" i="22"/>
  <c r="H26" i="4" s="1"/>
  <c r="Z115" i="22"/>
  <c r="L26" i="4" s="1"/>
  <c r="Y115" i="22"/>
  <c r="X115" i="22"/>
  <c r="G26" i="4" s="1"/>
  <c r="W115" i="22"/>
  <c r="V115" i="22"/>
  <c r="K26" i="4" s="1"/>
  <c r="U115" i="22"/>
  <c r="F26" i="4" s="1"/>
  <c r="T115" i="22"/>
  <c r="S115" i="22"/>
  <c r="J26" i="4" s="1"/>
  <c r="R115" i="22"/>
  <c r="E26" i="4" s="1"/>
  <c r="Q115" i="22"/>
  <c r="P115" i="22"/>
  <c r="O115" i="22"/>
  <c r="I25" i="3" s="1"/>
  <c r="N115" i="22"/>
  <c r="M115" i="22"/>
  <c r="H25" i="3"/>
  <c r="K115" i="22"/>
  <c r="J115" i="22"/>
  <c r="G25" i="3"/>
  <c r="H115" i="22"/>
  <c r="G115" i="22"/>
  <c r="K25" i="3" s="1"/>
  <c r="F25" i="3"/>
  <c r="E115" i="22"/>
  <c r="D115" i="22"/>
  <c r="E25" i="3"/>
  <c r="AF105" i="22"/>
  <c r="AE105" i="22"/>
  <c r="AD105" i="22"/>
  <c r="I25" i="4" s="1"/>
  <c r="AC105" i="22"/>
  <c r="AB105" i="22"/>
  <c r="M25" i="4" s="1"/>
  <c r="AA105" i="22"/>
  <c r="H25" i="4" s="1"/>
  <c r="Z105" i="22"/>
  <c r="Y105" i="22"/>
  <c r="L25" i="4" s="1"/>
  <c r="X105" i="22"/>
  <c r="G25" i="4" s="1"/>
  <c r="W105" i="22"/>
  <c r="V105" i="22"/>
  <c r="U105" i="22"/>
  <c r="F25" i="4" s="1"/>
  <c r="T105" i="22"/>
  <c r="S105" i="22"/>
  <c r="J25" i="4" s="1"/>
  <c r="R105" i="22"/>
  <c r="E25" i="4" s="1"/>
  <c r="Q105" i="22"/>
  <c r="P105" i="22"/>
  <c r="O105" i="22"/>
  <c r="I24" i="3" s="1"/>
  <c r="N105" i="22"/>
  <c r="M105" i="22"/>
  <c r="H24" i="3"/>
  <c r="K105" i="22"/>
  <c r="J105" i="22"/>
  <c r="G24" i="3"/>
  <c r="H105" i="22"/>
  <c r="K24" i="3" s="1"/>
  <c r="G105" i="22"/>
  <c r="F24" i="3"/>
  <c r="E105" i="22"/>
  <c r="D105" i="22"/>
  <c r="J24" i="3" s="1"/>
  <c r="E24" i="3"/>
  <c r="AF100" i="22"/>
  <c r="AE100" i="22"/>
  <c r="N24" i="4" s="1"/>
  <c r="AD100" i="22"/>
  <c r="I24" i="4" s="1"/>
  <c r="AC100" i="22"/>
  <c r="AB100" i="22"/>
  <c r="AA100" i="22"/>
  <c r="H24" i="4" s="1"/>
  <c r="Z100" i="22"/>
  <c r="Y100" i="22"/>
  <c r="L24" i="4" s="1"/>
  <c r="X100" i="22"/>
  <c r="G24" i="4" s="1"/>
  <c r="W100" i="22"/>
  <c r="V100" i="22"/>
  <c r="U100" i="22"/>
  <c r="F24" i="4" s="1"/>
  <c r="T100" i="22"/>
  <c r="S100" i="22"/>
  <c r="R100" i="22"/>
  <c r="E24" i="4" s="1"/>
  <c r="Q100" i="22"/>
  <c r="P100" i="22"/>
  <c r="O100" i="22"/>
  <c r="I23" i="3" s="1"/>
  <c r="N100" i="22"/>
  <c r="M100" i="22"/>
  <c r="H23" i="3"/>
  <c r="K100" i="22"/>
  <c r="J100" i="22"/>
  <c r="G23" i="3"/>
  <c r="H100" i="22"/>
  <c r="G100" i="22"/>
  <c r="K23" i="3" s="1"/>
  <c r="F23" i="3"/>
  <c r="E100" i="22"/>
  <c r="D100" i="22"/>
  <c r="E23" i="3"/>
  <c r="AF94" i="22"/>
  <c r="AE94" i="22"/>
  <c r="N23" i="4" s="1"/>
  <c r="AD94" i="22"/>
  <c r="I23" i="4" s="1"/>
  <c r="AC94" i="22"/>
  <c r="AB94" i="22"/>
  <c r="AA94" i="22"/>
  <c r="H23" i="4" s="1"/>
  <c r="Z94" i="22"/>
  <c r="Y94" i="22"/>
  <c r="L23" i="4" s="1"/>
  <c r="X94" i="22"/>
  <c r="G23" i="4" s="1"/>
  <c r="W94" i="22"/>
  <c r="V94" i="22"/>
  <c r="U94" i="22"/>
  <c r="F23" i="4" s="1"/>
  <c r="T94" i="22"/>
  <c r="S94" i="22"/>
  <c r="R94" i="22"/>
  <c r="E23" i="4" s="1"/>
  <c r="Q94" i="22"/>
  <c r="P94" i="22"/>
  <c r="O94" i="22"/>
  <c r="I22" i="3" s="1"/>
  <c r="N94" i="22"/>
  <c r="M94" i="22"/>
  <c r="M22" i="3" s="1"/>
  <c r="H22" i="3"/>
  <c r="K94" i="22"/>
  <c r="J94" i="22"/>
  <c r="G22" i="3"/>
  <c r="H94" i="22"/>
  <c r="G94" i="22"/>
  <c r="K22" i="3" s="1"/>
  <c r="F22" i="3"/>
  <c r="E94" i="22"/>
  <c r="D94" i="22"/>
  <c r="E22" i="3"/>
  <c r="AF90" i="22"/>
  <c r="AE90" i="22"/>
  <c r="N22" i="4" s="1"/>
  <c r="AD90" i="22"/>
  <c r="I22" i="4" s="1"/>
  <c r="AC90" i="22"/>
  <c r="AB90" i="22"/>
  <c r="AA90" i="22"/>
  <c r="H22" i="4" s="1"/>
  <c r="Z90" i="22"/>
  <c r="Y90" i="22"/>
  <c r="X90" i="22"/>
  <c r="G22" i="4" s="1"/>
  <c r="W90" i="22"/>
  <c r="V90" i="22"/>
  <c r="U90" i="22"/>
  <c r="F22" i="4" s="1"/>
  <c r="T90" i="22"/>
  <c r="S90" i="22"/>
  <c r="J22" i="4" s="1"/>
  <c r="R90" i="22"/>
  <c r="E22" i="4" s="1"/>
  <c r="Q90" i="22"/>
  <c r="P90" i="22"/>
  <c r="O90" i="22"/>
  <c r="I21" i="3" s="1"/>
  <c r="N90" i="22"/>
  <c r="M90" i="22"/>
  <c r="M21" i="3" s="1"/>
  <c r="H21" i="3"/>
  <c r="K90" i="22"/>
  <c r="J90" i="22"/>
  <c r="G21" i="3"/>
  <c r="H90" i="22"/>
  <c r="G90" i="22"/>
  <c r="K21" i="3" s="1"/>
  <c r="F21" i="3"/>
  <c r="E90" i="22"/>
  <c r="D90" i="22"/>
  <c r="E21" i="3"/>
  <c r="AF85" i="22"/>
  <c r="AE85" i="22"/>
  <c r="AD85" i="22"/>
  <c r="I21" i="4" s="1"/>
  <c r="AC85" i="22"/>
  <c r="AB85" i="22"/>
  <c r="AA85" i="22"/>
  <c r="H21" i="4" s="1"/>
  <c r="Z85" i="22"/>
  <c r="Y85" i="22"/>
  <c r="L21" i="4" s="1"/>
  <c r="X85" i="22"/>
  <c r="G21" i="4" s="1"/>
  <c r="W85" i="22"/>
  <c r="V85" i="22"/>
  <c r="K21" i="4" s="1"/>
  <c r="U85" i="22"/>
  <c r="F21" i="4" s="1"/>
  <c r="T85" i="22"/>
  <c r="S85" i="22"/>
  <c r="J21" i="4" s="1"/>
  <c r="R85" i="22"/>
  <c r="E21" i="4" s="1"/>
  <c r="Q85" i="22"/>
  <c r="P85" i="22"/>
  <c r="O85" i="22"/>
  <c r="I20" i="3" s="1"/>
  <c r="N85" i="22"/>
  <c r="M85" i="22"/>
  <c r="H20" i="3"/>
  <c r="K85" i="22"/>
  <c r="J85" i="22"/>
  <c r="G20" i="3"/>
  <c r="H85" i="22"/>
  <c r="G85" i="22"/>
  <c r="F20" i="3"/>
  <c r="E85" i="22"/>
  <c r="D85" i="22"/>
  <c r="J20" i="3" s="1"/>
  <c r="E20" i="3"/>
  <c r="AF78" i="22"/>
  <c r="AE78" i="22"/>
  <c r="N20" i="4" s="1"/>
  <c r="AD78" i="22"/>
  <c r="I20" i="4" s="1"/>
  <c r="AC78" i="22"/>
  <c r="AB78" i="22"/>
  <c r="M20" i="4" s="1"/>
  <c r="AA78" i="22"/>
  <c r="H20" i="4" s="1"/>
  <c r="Z78" i="22"/>
  <c r="Y78" i="22"/>
  <c r="L20" i="4" s="1"/>
  <c r="X78" i="22"/>
  <c r="G20" i="4" s="1"/>
  <c r="W78" i="22"/>
  <c r="V78" i="22"/>
  <c r="U78" i="22"/>
  <c r="F20" i="4" s="1"/>
  <c r="T78" i="22"/>
  <c r="S78" i="22"/>
  <c r="R78" i="22"/>
  <c r="E20" i="4" s="1"/>
  <c r="Q78" i="22"/>
  <c r="P78" i="22"/>
  <c r="O78" i="22"/>
  <c r="I19" i="3" s="1"/>
  <c r="N78" i="22"/>
  <c r="M19" i="3" s="1"/>
  <c r="M78" i="22"/>
  <c r="H19" i="3"/>
  <c r="K78" i="22"/>
  <c r="J78" i="22"/>
  <c r="L19" i="3" s="1"/>
  <c r="G19" i="3"/>
  <c r="H78" i="22"/>
  <c r="G78" i="22"/>
  <c r="K19" i="3" s="1"/>
  <c r="F19" i="3"/>
  <c r="E78" i="22"/>
  <c r="D78" i="22"/>
  <c r="J19" i="3" s="1"/>
  <c r="E19" i="3"/>
  <c r="AF73" i="22"/>
  <c r="AE73" i="22"/>
  <c r="N19" i="4" s="1"/>
  <c r="AD73" i="22"/>
  <c r="I19" i="4" s="1"/>
  <c r="AC73" i="22"/>
  <c r="AB73" i="22"/>
  <c r="AA73" i="22"/>
  <c r="H19" i="4" s="1"/>
  <c r="Z73" i="22"/>
  <c r="Y73" i="22"/>
  <c r="X73" i="22"/>
  <c r="G19" i="4" s="1"/>
  <c r="W73" i="22"/>
  <c r="V73" i="22"/>
  <c r="K19" i="4" s="1"/>
  <c r="U73" i="22"/>
  <c r="F19" i="4" s="1"/>
  <c r="T73" i="22"/>
  <c r="S73" i="22"/>
  <c r="R73" i="22"/>
  <c r="E19" i="4" s="1"/>
  <c r="Q73" i="22"/>
  <c r="P73" i="22"/>
  <c r="N18" i="3" s="1"/>
  <c r="O73" i="22"/>
  <c r="I18" i="3" s="1"/>
  <c r="N73" i="22"/>
  <c r="M73" i="22"/>
  <c r="M18" i="3" s="1"/>
  <c r="H18" i="3"/>
  <c r="K73" i="22"/>
  <c r="J73" i="22"/>
  <c r="G18" i="3"/>
  <c r="H73" i="22"/>
  <c r="G73" i="22"/>
  <c r="K18" i="3" s="1"/>
  <c r="F18" i="3"/>
  <c r="E73" i="22"/>
  <c r="D73" i="22"/>
  <c r="E18" i="3"/>
  <c r="AF60" i="22"/>
  <c r="AE60" i="22"/>
  <c r="AD60" i="22"/>
  <c r="I18" i="4" s="1"/>
  <c r="AC60" i="22"/>
  <c r="AB60" i="22"/>
  <c r="AA60" i="22"/>
  <c r="H18" i="4" s="1"/>
  <c r="Z60" i="22"/>
  <c r="Y60" i="22"/>
  <c r="X60" i="22"/>
  <c r="G18" i="4" s="1"/>
  <c r="W60" i="22"/>
  <c r="V60" i="22"/>
  <c r="K18" i="4" s="1"/>
  <c r="U60" i="22"/>
  <c r="F18" i="4" s="1"/>
  <c r="T60" i="22"/>
  <c r="S60" i="22"/>
  <c r="J18" i="4" s="1"/>
  <c r="R60" i="22"/>
  <c r="E18" i="4" s="1"/>
  <c r="Q60" i="22"/>
  <c r="P60" i="22"/>
  <c r="N17" i="3" s="1"/>
  <c r="O60" i="22"/>
  <c r="I17" i="3" s="1"/>
  <c r="N60" i="22"/>
  <c r="M60" i="22"/>
  <c r="M17" i="3" s="1"/>
  <c r="H17" i="3"/>
  <c r="K60" i="22"/>
  <c r="J60" i="22"/>
  <c r="G17" i="3"/>
  <c r="H60" i="22"/>
  <c r="G60" i="22"/>
  <c r="F17" i="3"/>
  <c r="E60" i="22"/>
  <c r="D60" i="22"/>
  <c r="J17" i="3" s="1"/>
  <c r="E17" i="3"/>
  <c r="AF55" i="22"/>
  <c r="AE55" i="22"/>
  <c r="AD55" i="22"/>
  <c r="I17" i="4" s="1"/>
  <c r="AC55" i="22"/>
  <c r="AB55" i="22"/>
  <c r="M17" i="4" s="1"/>
  <c r="AA55" i="22"/>
  <c r="H17" i="4" s="1"/>
  <c r="Z55" i="22"/>
  <c r="Y55" i="22"/>
  <c r="X55" i="22"/>
  <c r="G17" i="4" s="1"/>
  <c r="W55" i="22"/>
  <c r="V55" i="22"/>
  <c r="K17" i="4" s="1"/>
  <c r="U55" i="22"/>
  <c r="F17" i="4" s="1"/>
  <c r="T55" i="22"/>
  <c r="S55" i="22"/>
  <c r="J17" i="4" s="1"/>
  <c r="R55" i="22"/>
  <c r="E17" i="4" s="1"/>
  <c r="Q55" i="22"/>
  <c r="P55" i="22"/>
  <c r="O55" i="22"/>
  <c r="I16" i="3" s="1"/>
  <c r="N55" i="22"/>
  <c r="M55" i="22"/>
  <c r="H16" i="3"/>
  <c r="K55" i="22"/>
  <c r="J55" i="22"/>
  <c r="L16" i="3" s="1"/>
  <c r="G16" i="3"/>
  <c r="H55" i="22"/>
  <c r="K16" i="3" s="1"/>
  <c r="G55" i="22"/>
  <c r="F16" i="3"/>
  <c r="E55" i="22"/>
  <c r="D55" i="22"/>
  <c r="J16" i="3" s="1"/>
  <c r="E16" i="3"/>
  <c r="AF46" i="22"/>
  <c r="AE46" i="22"/>
  <c r="AD46" i="22"/>
  <c r="I16" i="4" s="1"/>
  <c r="AC46" i="22"/>
  <c r="AB46" i="22"/>
  <c r="M16" i="4" s="1"/>
  <c r="AA46" i="22"/>
  <c r="H16" i="4" s="1"/>
  <c r="Z46" i="22"/>
  <c r="Y46" i="22"/>
  <c r="L16" i="4" s="1"/>
  <c r="X46" i="22"/>
  <c r="G16" i="4" s="1"/>
  <c r="W46" i="22"/>
  <c r="V46" i="22"/>
  <c r="U46" i="22"/>
  <c r="F16" i="4" s="1"/>
  <c r="T46" i="22"/>
  <c r="S46" i="22"/>
  <c r="R46" i="22"/>
  <c r="E16" i="4" s="1"/>
  <c r="Q46" i="22"/>
  <c r="P46" i="22"/>
  <c r="N15" i="3" s="1"/>
  <c r="O46" i="22"/>
  <c r="I15" i="3" s="1"/>
  <c r="N46" i="22"/>
  <c r="M46" i="22"/>
  <c r="H15" i="3"/>
  <c r="K46" i="22"/>
  <c r="J46" i="22"/>
  <c r="L15" i="3" s="1"/>
  <c r="G15" i="3"/>
  <c r="H46" i="22"/>
  <c r="G46" i="22"/>
  <c r="F15" i="3"/>
  <c r="E46" i="22"/>
  <c r="D46" i="22"/>
  <c r="J15" i="3" s="1"/>
  <c r="E15" i="3"/>
  <c r="AF42" i="22"/>
  <c r="AE42" i="22"/>
  <c r="N15" i="4" s="1"/>
  <c r="AD42" i="22"/>
  <c r="I15" i="4" s="1"/>
  <c r="AC42" i="22"/>
  <c r="AB42" i="22"/>
  <c r="AA42" i="22"/>
  <c r="H15" i="4" s="1"/>
  <c r="Z42" i="22"/>
  <c r="Y42" i="22"/>
  <c r="X42" i="22"/>
  <c r="G15" i="4" s="1"/>
  <c r="W42" i="22"/>
  <c r="V42" i="22"/>
  <c r="K15" i="4" s="1"/>
  <c r="U42" i="22"/>
  <c r="F15" i="4" s="1"/>
  <c r="T42" i="22"/>
  <c r="S42" i="22"/>
  <c r="R42" i="22"/>
  <c r="E15" i="4" s="1"/>
  <c r="Q42" i="22"/>
  <c r="P42" i="22"/>
  <c r="N14" i="3" s="1"/>
  <c r="O42" i="22"/>
  <c r="I14" i="3" s="1"/>
  <c r="N42" i="22"/>
  <c r="M42" i="22"/>
  <c r="H14" i="3"/>
  <c r="K42" i="22"/>
  <c r="J42" i="22"/>
  <c r="G14" i="3"/>
  <c r="H42" i="22"/>
  <c r="G42" i="22"/>
  <c r="K14" i="3" s="1"/>
  <c r="F14" i="3"/>
  <c r="E42" i="22"/>
  <c r="D42" i="22"/>
  <c r="E14" i="3"/>
  <c r="AF36" i="22"/>
  <c r="AE36" i="22"/>
  <c r="AD36" i="22"/>
  <c r="I14" i="4" s="1"/>
  <c r="AC36" i="22"/>
  <c r="AB36" i="22"/>
  <c r="M14" i="4" s="1"/>
  <c r="AA36" i="22"/>
  <c r="H14" i="4" s="1"/>
  <c r="Z36" i="22"/>
  <c r="Y36" i="22"/>
  <c r="X36" i="22"/>
  <c r="G14" i="4" s="1"/>
  <c r="W36" i="22"/>
  <c r="V36" i="22"/>
  <c r="K14" i="4" s="1"/>
  <c r="U36" i="22"/>
  <c r="F14" i="4" s="1"/>
  <c r="T36" i="22"/>
  <c r="S36" i="22"/>
  <c r="R36" i="22"/>
  <c r="E14" i="4" s="1"/>
  <c r="Q36" i="22"/>
  <c r="P36" i="22"/>
  <c r="O36" i="22"/>
  <c r="I13" i="3" s="1"/>
  <c r="N36" i="22"/>
  <c r="M36" i="22"/>
  <c r="M13" i="3" s="1"/>
  <c r="H13" i="3"/>
  <c r="K36" i="22"/>
  <c r="J36" i="22"/>
  <c r="G13" i="3"/>
  <c r="H36" i="22"/>
  <c r="G36" i="22"/>
  <c r="F13" i="3"/>
  <c r="E36" i="22"/>
  <c r="D36" i="22"/>
  <c r="J13" i="3" s="1"/>
  <c r="E13" i="3"/>
  <c r="AF30" i="22"/>
  <c r="AE30" i="22"/>
  <c r="AD30" i="22"/>
  <c r="I13" i="4" s="1"/>
  <c r="AC30" i="22"/>
  <c r="AB30" i="22"/>
  <c r="M13" i="4" s="1"/>
  <c r="AA30" i="22"/>
  <c r="H13" i="4" s="1"/>
  <c r="Z30" i="22"/>
  <c r="Y30" i="22"/>
  <c r="L13" i="4" s="1"/>
  <c r="X30" i="22"/>
  <c r="G13" i="4" s="1"/>
  <c r="W30" i="22"/>
  <c r="V30" i="22"/>
  <c r="U30" i="22"/>
  <c r="F13" i="4" s="1"/>
  <c r="T30" i="22"/>
  <c r="S30" i="22"/>
  <c r="J13" i="4" s="1"/>
  <c r="R30" i="22"/>
  <c r="E13" i="4" s="1"/>
  <c r="Q30" i="22"/>
  <c r="P30" i="22"/>
  <c r="O30" i="22"/>
  <c r="I12" i="3" s="1"/>
  <c r="N30" i="22"/>
  <c r="M30" i="22"/>
  <c r="H12" i="3"/>
  <c r="K30" i="22"/>
  <c r="J30" i="22"/>
  <c r="L12" i="3" s="1"/>
  <c r="G12" i="3"/>
  <c r="H30" i="22"/>
  <c r="G30" i="22"/>
  <c r="F12" i="3"/>
  <c r="E30" i="22"/>
  <c r="D30" i="22"/>
  <c r="E12" i="3"/>
  <c r="AF26" i="22"/>
  <c r="AE26" i="22"/>
  <c r="N12" i="4" s="1"/>
  <c r="AD26" i="22"/>
  <c r="I12" i="4" s="1"/>
  <c r="AC26" i="22"/>
  <c r="AB26" i="22"/>
  <c r="M12" i="4" s="1"/>
  <c r="AA26" i="22"/>
  <c r="H12" i="4" s="1"/>
  <c r="Z26" i="22"/>
  <c r="Y26" i="22"/>
  <c r="L12" i="4" s="1"/>
  <c r="X26" i="22"/>
  <c r="G12" i="4" s="1"/>
  <c r="W26" i="22"/>
  <c r="V26" i="22"/>
  <c r="U26" i="22"/>
  <c r="F12" i="4" s="1"/>
  <c r="T26" i="22"/>
  <c r="S26" i="22"/>
  <c r="R26" i="22"/>
  <c r="E12" i="4" s="1"/>
  <c r="Q26" i="22"/>
  <c r="P26" i="22"/>
  <c r="N11" i="3" s="1"/>
  <c r="O26" i="22"/>
  <c r="I11" i="3" s="1"/>
  <c r="N26" i="22"/>
  <c r="M26" i="22"/>
  <c r="H11" i="3"/>
  <c r="K26" i="22"/>
  <c r="J26" i="22"/>
  <c r="L11" i="3" s="1"/>
  <c r="G11" i="3"/>
  <c r="H26" i="22"/>
  <c r="G26" i="22"/>
  <c r="K11" i="3" s="1"/>
  <c r="F11" i="3"/>
  <c r="E26" i="22"/>
  <c r="D26" i="22"/>
  <c r="E11" i="3"/>
  <c r="AF22" i="22"/>
  <c r="AE22" i="22"/>
  <c r="N11" i="4" s="1"/>
  <c r="AD22" i="22"/>
  <c r="I11" i="4" s="1"/>
  <c r="AC22" i="22"/>
  <c r="AB22" i="22"/>
  <c r="AA22" i="22"/>
  <c r="H11" i="4" s="1"/>
  <c r="Z22" i="22"/>
  <c r="Y22" i="22"/>
  <c r="X22" i="22"/>
  <c r="G11" i="4" s="1"/>
  <c r="W22" i="22"/>
  <c r="V22" i="22"/>
  <c r="K11" i="4" s="1"/>
  <c r="U22" i="22"/>
  <c r="F11" i="4" s="1"/>
  <c r="T22" i="22"/>
  <c r="S22" i="22"/>
  <c r="R22" i="22"/>
  <c r="E11" i="4" s="1"/>
  <c r="Q22" i="22"/>
  <c r="P22" i="22"/>
  <c r="N10" i="3" s="1"/>
  <c r="O22" i="22"/>
  <c r="I10" i="3" s="1"/>
  <c r="N22" i="22"/>
  <c r="M22" i="22"/>
  <c r="M10" i="3" s="1"/>
  <c r="H10" i="3"/>
  <c r="K22" i="22"/>
  <c r="J22" i="22"/>
  <c r="L10" i="3" s="1"/>
  <c r="G10" i="3"/>
  <c r="H22" i="22"/>
  <c r="G22" i="22"/>
  <c r="K10" i="3" s="1"/>
  <c r="F10" i="3"/>
  <c r="E22" i="22"/>
  <c r="D22" i="22"/>
  <c r="E10" i="3"/>
  <c r="AF16" i="22"/>
  <c r="AE16" i="22"/>
  <c r="AD16" i="22"/>
  <c r="I10" i="4" s="1"/>
  <c r="AC16" i="22"/>
  <c r="AB16" i="22"/>
  <c r="M10" i="4" s="1"/>
  <c r="AA16" i="22"/>
  <c r="H10" i="4" s="1"/>
  <c r="Z16" i="22"/>
  <c r="Y16" i="22"/>
  <c r="X16" i="22"/>
  <c r="G10" i="4" s="1"/>
  <c r="W16" i="22"/>
  <c r="V16" i="22"/>
  <c r="K10" i="4" s="1"/>
  <c r="U16" i="22"/>
  <c r="F10" i="4" s="1"/>
  <c r="T16" i="22"/>
  <c r="S16" i="22"/>
  <c r="J10" i="4" s="1"/>
  <c r="R16" i="22"/>
  <c r="E10" i="4" s="1"/>
  <c r="Q16" i="22"/>
  <c r="P16" i="22"/>
  <c r="O16" i="22"/>
  <c r="I9" i="3" s="1"/>
  <c r="N16" i="22"/>
  <c r="M16" i="22"/>
  <c r="M9" i="3" s="1"/>
  <c r="H9" i="3"/>
  <c r="K16" i="22"/>
  <c r="J16" i="22"/>
  <c r="G9" i="3"/>
  <c r="H16" i="22"/>
  <c r="G16" i="22"/>
  <c r="F9" i="3"/>
  <c r="E16" i="22"/>
  <c r="D16" i="22"/>
  <c r="J9" i="3" s="1"/>
  <c r="E9" i="3"/>
  <c r="AF8" i="22"/>
  <c r="AE8" i="22"/>
  <c r="AD8" i="22"/>
  <c r="I9" i="4" s="1"/>
  <c r="AC8" i="22"/>
  <c r="AB8" i="22"/>
  <c r="M9" i="4" s="1"/>
  <c r="AA8" i="22"/>
  <c r="H9" i="4" s="1"/>
  <c r="Z8" i="22"/>
  <c r="Y8" i="22"/>
  <c r="L9" i="4" s="1"/>
  <c r="X8" i="22"/>
  <c r="G9" i="4" s="1"/>
  <c r="W8" i="22"/>
  <c r="V8" i="22"/>
  <c r="U8" i="22"/>
  <c r="F9" i="4" s="1"/>
  <c r="T8" i="22"/>
  <c r="S8" i="22"/>
  <c r="J9" i="4" s="1"/>
  <c r="R8" i="22"/>
  <c r="E9" i="4" s="1"/>
  <c r="Q8" i="22"/>
  <c r="P8" i="22"/>
  <c r="O8" i="22"/>
  <c r="I8" i="3" s="1"/>
  <c r="N8" i="22"/>
  <c r="M8" i="22"/>
  <c r="H8" i="3"/>
  <c r="K8" i="22"/>
  <c r="J8" i="22"/>
  <c r="L8" i="3" s="1"/>
  <c r="G8" i="3"/>
  <c r="H8" i="22"/>
  <c r="K8" i="3" s="1"/>
  <c r="G8" i="22"/>
  <c r="F8" i="3"/>
  <c r="E8" i="22"/>
  <c r="D8" i="22"/>
  <c r="J8" i="3" s="1"/>
  <c r="E8" i="3"/>
  <c r="J136" i="26" l="1"/>
  <c r="K134" i="26"/>
  <c r="K136" i="26" s="1"/>
  <c r="J12" i="3"/>
  <c r="J14" i="4"/>
  <c r="M14" i="3"/>
  <c r="K15" i="3"/>
  <c r="N16" i="4"/>
  <c r="L29" i="4"/>
  <c r="J30" i="4"/>
  <c r="M18" i="4"/>
  <c r="L20" i="3"/>
  <c r="J21" i="3"/>
  <c r="M22" i="4"/>
  <c r="M21" i="4"/>
  <c r="K22" i="4"/>
  <c r="N22" i="3"/>
  <c r="L23" i="3"/>
  <c r="M12" i="3"/>
  <c r="K13" i="3"/>
  <c r="L15" i="4"/>
  <c r="J16" i="4"/>
  <c r="N18" i="4"/>
  <c r="J20" i="4"/>
  <c r="M20" i="3"/>
  <c r="N9" i="3"/>
  <c r="J11" i="3"/>
  <c r="K13" i="4"/>
  <c r="N13" i="3"/>
  <c r="L14" i="3"/>
  <c r="L18" i="3"/>
  <c r="N21" i="3"/>
  <c r="L22" i="3"/>
  <c r="J23" i="3"/>
  <c r="M24" i="4"/>
  <c r="K25" i="4"/>
  <c r="N25" i="3"/>
  <c r="L26" i="3"/>
  <c r="J27" i="3"/>
  <c r="M28" i="4"/>
  <c r="K29" i="4"/>
  <c r="N29" i="3"/>
  <c r="N8" i="3"/>
  <c r="L9" i="3"/>
  <c r="J10" i="3"/>
  <c r="M11" i="4"/>
  <c r="K12" i="4"/>
  <c r="N12" i="3"/>
  <c r="L13" i="3"/>
  <c r="J14" i="3"/>
  <c r="M15" i="4"/>
  <c r="K16" i="4"/>
  <c r="N16" i="3"/>
  <c r="L17" i="3"/>
  <c r="J18" i="3"/>
  <c r="M19" i="4"/>
  <c r="K20" i="4"/>
  <c r="N20" i="3"/>
  <c r="L21" i="3"/>
  <c r="J22" i="3"/>
  <c r="M23" i="4"/>
  <c r="K24" i="4"/>
  <c r="N24" i="3"/>
  <c r="L25" i="3"/>
  <c r="J26" i="3"/>
  <c r="M27" i="4"/>
  <c r="K28" i="4"/>
  <c r="N28" i="3"/>
  <c r="L29" i="3"/>
  <c r="L17" i="4"/>
  <c r="N19" i="3"/>
  <c r="K23" i="4"/>
  <c r="N23" i="3"/>
  <c r="L24" i="3"/>
  <c r="J25" i="3"/>
  <c r="K27" i="4"/>
  <c r="L28" i="3"/>
  <c r="M25" i="3"/>
  <c r="M8" i="3"/>
  <c r="K9" i="3"/>
  <c r="N10" i="4"/>
  <c r="L11" i="4"/>
  <c r="J12" i="4"/>
  <c r="N14" i="4"/>
  <c r="M16" i="3"/>
  <c r="K17" i="3"/>
  <c r="L19" i="4"/>
  <c r="J24" i="4"/>
  <c r="M24" i="3"/>
  <c r="K9" i="4"/>
  <c r="N9" i="4"/>
  <c r="L10" i="4"/>
  <c r="J11" i="4"/>
  <c r="M11" i="3"/>
  <c r="K12" i="3"/>
  <c r="N13" i="4"/>
  <c r="L14" i="4"/>
  <c r="J15" i="4"/>
  <c r="M15" i="3"/>
  <c r="N17" i="4"/>
  <c r="L18" i="4"/>
  <c r="J19" i="4"/>
  <c r="K20" i="3"/>
  <c r="N21" i="4"/>
  <c r="L22" i="4"/>
  <c r="J23" i="4"/>
  <c r="M23" i="3"/>
  <c r="N25" i="4"/>
  <c r="J27" i="4"/>
  <c r="K28" i="3"/>
  <c r="N29" i="4"/>
  <c r="L30" i="4"/>
  <c r="F22" i="6"/>
  <c r="G25" i="6"/>
  <c r="H25" i="6"/>
  <c r="I25" i="6"/>
  <c r="J25" i="6"/>
  <c r="K25" i="6"/>
  <c r="G26" i="6"/>
  <c r="H26" i="6"/>
  <c r="I26" i="6"/>
  <c r="J26" i="6"/>
  <c r="K26" i="6"/>
  <c r="G27" i="6"/>
  <c r="H27" i="6"/>
  <c r="I27" i="6"/>
  <c r="J27" i="6"/>
  <c r="K27" i="6"/>
  <c r="G28" i="6"/>
  <c r="H28" i="6"/>
  <c r="I28" i="6"/>
  <c r="J28" i="6"/>
  <c r="K28" i="6"/>
  <c r="G29" i="6"/>
  <c r="H29" i="6"/>
  <c r="I29" i="6"/>
  <c r="J29" i="6"/>
  <c r="K29" i="6"/>
  <c r="G30" i="6"/>
  <c r="H30" i="6"/>
  <c r="I30" i="6"/>
  <c r="J30" i="6"/>
  <c r="K30" i="6"/>
  <c r="G31" i="6"/>
  <c r="H31" i="6"/>
  <c r="I31" i="6"/>
  <c r="J31" i="6"/>
  <c r="K31" i="6"/>
  <c r="G32" i="6"/>
  <c r="H32" i="6"/>
  <c r="I32" i="6"/>
  <c r="J32" i="6"/>
  <c r="K32" i="6"/>
  <c r="G33" i="6"/>
  <c r="H33" i="6"/>
  <c r="I33" i="6"/>
  <c r="J33" i="6"/>
  <c r="K33" i="6"/>
  <c r="G34" i="6"/>
  <c r="H34" i="6"/>
  <c r="I34" i="6"/>
  <c r="J34" i="6"/>
  <c r="K34" i="6"/>
  <c r="G35" i="6"/>
  <c r="H35" i="6"/>
  <c r="I35" i="6"/>
  <c r="J35" i="6"/>
  <c r="K35" i="6"/>
  <c r="G36" i="6"/>
  <c r="H36" i="6"/>
  <c r="I36" i="6"/>
  <c r="J36" i="6"/>
  <c r="K36" i="6"/>
  <c r="G37" i="6"/>
  <c r="H37" i="6"/>
  <c r="I37" i="6"/>
  <c r="J37" i="6"/>
  <c r="K37" i="6"/>
  <c r="G38" i="6"/>
  <c r="H38" i="6"/>
  <c r="I38" i="6"/>
  <c r="J38" i="6"/>
  <c r="K38" i="6"/>
  <c r="G39" i="6"/>
  <c r="H39" i="6"/>
  <c r="I39" i="6"/>
  <c r="J39" i="6"/>
  <c r="K39" i="6"/>
  <c r="G40" i="6"/>
  <c r="H40" i="6"/>
  <c r="I40" i="6"/>
  <c r="J40" i="6"/>
  <c r="K40" i="6"/>
  <c r="G41" i="6"/>
  <c r="H41" i="6"/>
  <c r="I41" i="6"/>
  <c r="J41" i="6"/>
  <c r="K41" i="6"/>
  <c r="G42" i="6"/>
  <c r="H42" i="6"/>
  <c r="I42" i="6"/>
  <c r="J42" i="6"/>
  <c r="K42" i="6"/>
  <c r="G43" i="6"/>
  <c r="H43" i="6"/>
  <c r="I43" i="6"/>
  <c r="J43" i="6"/>
  <c r="K43" i="6"/>
  <c r="G44" i="6"/>
  <c r="H44" i="6"/>
  <c r="I44" i="6"/>
  <c r="J44" i="6"/>
  <c r="K44" i="6"/>
  <c r="G45" i="6"/>
  <c r="H45" i="6"/>
  <c r="I45" i="6"/>
  <c r="J45" i="6"/>
  <c r="K45" i="6"/>
  <c r="G46" i="6"/>
  <c r="H46" i="6"/>
  <c r="I46" i="6"/>
  <c r="J46" i="6"/>
  <c r="K46" i="6"/>
  <c r="G47" i="6"/>
  <c r="H47" i="6"/>
  <c r="I47" i="6"/>
  <c r="J47" i="6"/>
  <c r="K47" i="6"/>
  <c r="G48" i="6"/>
  <c r="H48" i="6"/>
  <c r="I48" i="6"/>
  <c r="J48" i="6"/>
  <c r="K48" i="6"/>
  <c r="G49" i="6"/>
  <c r="H49" i="6"/>
  <c r="I49" i="6"/>
  <c r="J49" i="6"/>
  <c r="K49" i="6"/>
  <c r="G50" i="6"/>
  <c r="H50" i="6"/>
  <c r="I50" i="6"/>
  <c r="J50" i="6"/>
  <c r="K50" i="6"/>
  <c r="G51" i="6"/>
  <c r="H51" i="6"/>
  <c r="I51" i="6"/>
  <c r="J51" i="6"/>
  <c r="K51" i="6"/>
  <c r="G52" i="6"/>
  <c r="H52" i="6"/>
  <c r="I52" i="6"/>
  <c r="J52" i="6"/>
  <c r="K52" i="6"/>
  <c r="G53" i="6"/>
  <c r="H53" i="6"/>
  <c r="I53" i="6"/>
  <c r="J53" i="6"/>
  <c r="K53" i="6"/>
  <c r="G54" i="6"/>
  <c r="H54" i="6"/>
  <c r="I54" i="6"/>
  <c r="J54" i="6"/>
  <c r="K54" i="6"/>
  <c r="G55" i="6"/>
  <c r="H55" i="6"/>
  <c r="I55" i="6"/>
  <c r="J55" i="6"/>
  <c r="K55" i="6"/>
  <c r="G56" i="6"/>
  <c r="H56" i="6"/>
  <c r="I56" i="6"/>
  <c r="J56" i="6"/>
  <c r="K56" i="6"/>
  <c r="G57" i="6"/>
  <c r="H57" i="6"/>
  <c r="I57" i="6"/>
  <c r="J57" i="6"/>
  <c r="K57" i="6"/>
  <c r="G58" i="6"/>
  <c r="H58" i="6"/>
  <c r="I58" i="6"/>
  <c r="J58" i="6"/>
  <c r="K58" i="6"/>
  <c r="G59" i="6"/>
  <c r="H59" i="6"/>
  <c r="I59" i="6"/>
  <c r="J59" i="6"/>
  <c r="K59" i="6"/>
  <c r="G60" i="6"/>
  <c r="H60" i="6"/>
  <c r="I60" i="6"/>
  <c r="J60" i="6"/>
  <c r="K60" i="6"/>
  <c r="G61" i="6"/>
  <c r="H61" i="6"/>
  <c r="I61" i="6"/>
  <c r="J61" i="6"/>
  <c r="K61" i="6"/>
  <c r="G62" i="6"/>
  <c r="H62" i="6"/>
  <c r="I62" i="6"/>
  <c r="J62" i="6"/>
  <c r="K62" i="6"/>
  <c r="G63" i="6"/>
  <c r="H63" i="6"/>
  <c r="I63" i="6"/>
  <c r="J63" i="6"/>
  <c r="K63" i="6"/>
  <c r="G64" i="6"/>
  <c r="H64" i="6"/>
  <c r="I64" i="6"/>
  <c r="J64" i="6"/>
  <c r="K64" i="6"/>
  <c r="G65" i="6"/>
  <c r="H65" i="6"/>
  <c r="I65" i="6"/>
  <c r="J65" i="6"/>
  <c r="K65" i="6"/>
  <c r="G66" i="6"/>
  <c r="H66" i="6"/>
  <c r="I66" i="6"/>
  <c r="J66" i="6"/>
  <c r="K66" i="6"/>
  <c r="G67" i="6"/>
  <c r="H67" i="6"/>
  <c r="I67" i="6"/>
  <c r="J67" i="6"/>
  <c r="K67" i="6"/>
  <c r="G68" i="6"/>
  <c r="H68" i="6"/>
  <c r="I68" i="6"/>
  <c r="J68" i="6"/>
  <c r="K68" i="6"/>
  <c r="G69" i="6"/>
  <c r="H69" i="6"/>
  <c r="I69" i="6"/>
  <c r="J69" i="6"/>
  <c r="K69" i="6"/>
  <c r="G70" i="6"/>
  <c r="H70" i="6"/>
  <c r="I70" i="6"/>
  <c r="J70" i="6"/>
  <c r="K70" i="6"/>
  <c r="G71" i="6"/>
  <c r="H71" i="6"/>
  <c r="I71" i="6"/>
  <c r="J71" i="6"/>
  <c r="K71" i="6"/>
  <c r="G72" i="6"/>
  <c r="H72" i="6"/>
  <c r="I72" i="6"/>
  <c r="J72" i="6"/>
  <c r="K72" i="6"/>
  <c r="G19" i="6"/>
  <c r="H19" i="6"/>
  <c r="I19" i="6"/>
  <c r="J19" i="6"/>
  <c r="K19" i="6"/>
  <c r="G20" i="6"/>
  <c r="H20" i="6"/>
  <c r="I20" i="6"/>
  <c r="J20" i="6"/>
  <c r="K20" i="6"/>
  <c r="G21" i="6"/>
  <c r="H21" i="6"/>
  <c r="I21" i="6"/>
  <c r="J21" i="6"/>
  <c r="K21" i="6"/>
  <c r="G22" i="6"/>
  <c r="H22" i="6"/>
  <c r="I22" i="6"/>
  <c r="J22" i="6"/>
  <c r="K22" i="6"/>
  <c r="G23" i="6"/>
  <c r="H23" i="6"/>
  <c r="I23" i="6"/>
  <c r="J23" i="6"/>
  <c r="K23" i="6"/>
  <c r="G24" i="6"/>
  <c r="H24" i="6"/>
  <c r="I24" i="6"/>
  <c r="J24" i="6"/>
  <c r="K24" i="6"/>
  <c r="G16" i="6"/>
  <c r="H16" i="6"/>
  <c r="I16" i="6"/>
  <c r="J16" i="6"/>
  <c r="K16" i="6"/>
  <c r="G17" i="6"/>
  <c r="H17" i="6"/>
  <c r="I17" i="6"/>
  <c r="J17" i="6"/>
  <c r="K17" i="6"/>
  <c r="G18" i="6"/>
  <c r="H18" i="6"/>
  <c r="I18" i="6"/>
  <c r="J18" i="6"/>
  <c r="K18" i="6"/>
  <c r="G13" i="6"/>
  <c r="H13" i="6"/>
  <c r="I13" i="6"/>
  <c r="J13" i="6"/>
  <c r="K13" i="6"/>
  <c r="G14" i="6"/>
  <c r="H14" i="6"/>
  <c r="I14" i="6"/>
  <c r="J14" i="6"/>
  <c r="K14" i="6"/>
  <c r="G15" i="6"/>
  <c r="H15" i="6"/>
  <c r="I15" i="6"/>
  <c r="J15" i="6"/>
  <c r="K15" i="6"/>
  <c r="G10" i="6"/>
  <c r="H10" i="6"/>
  <c r="I10" i="6"/>
  <c r="J10" i="6"/>
  <c r="K10" i="6"/>
  <c r="G11" i="6"/>
  <c r="H11" i="6"/>
  <c r="I11" i="6"/>
  <c r="J11" i="6"/>
  <c r="K11" i="6"/>
  <c r="G12" i="6"/>
  <c r="H12" i="6"/>
  <c r="I12" i="6"/>
  <c r="J12" i="6"/>
  <c r="K12" i="6"/>
  <c r="G8" i="6"/>
  <c r="H8" i="6"/>
  <c r="I8" i="6"/>
  <c r="J8" i="6"/>
  <c r="K8" i="6"/>
  <c r="G9" i="6"/>
  <c r="H9" i="6"/>
  <c r="I9" i="6"/>
  <c r="J9" i="6"/>
  <c r="K9" i="6"/>
  <c r="K7" i="6"/>
  <c r="J7" i="6"/>
  <c r="I7" i="6"/>
  <c r="H7" i="6"/>
  <c r="G7" i="6"/>
  <c r="F67" i="6"/>
  <c r="F70" i="6"/>
  <c r="F72" i="6"/>
  <c r="F35" i="6"/>
  <c r="F38" i="6"/>
  <c r="F40" i="6"/>
  <c r="F43" i="6"/>
  <c r="F46" i="6"/>
  <c r="F48" i="6"/>
  <c r="F51" i="6"/>
  <c r="F54" i="6"/>
  <c r="F56" i="6"/>
  <c r="F59" i="6"/>
  <c r="F62" i="6"/>
  <c r="F64" i="6"/>
  <c r="F16" i="6"/>
  <c r="F17" i="6"/>
  <c r="F25" i="6"/>
  <c r="F32" i="6"/>
  <c r="F8" i="6"/>
  <c r="G68" i="21"/>
  <c r="G67" i="21"/>
  <c r="F71" i="6" s="1"/>
  <c r="G66" i="21"/>
  <c r="G65" i="21"/>
  <c r="F69" i="6" s="1"/>
  <c r="G64" i="21"/>
  <c r="F68" i="6" s="1"/>
  <c r="G63" i="21"/>
  <c r="G62" i="21"/>
  <c r="F66" i="6" s="1"/>
  <c r="G61" i="21"/>
  <c r="F65" i="6" s="1"/>
  <c r="G60" i="21"/>
  <c r="G59" i="21"/>
  <c r="F63" i="6" s="1"/>
  <c r="G58" i="21"/>
  <c r="G57" i="21"/>
  <c r="F61" i="6" s="1"/>
  <c r="G56" i="21"/>
  <c r="F60" i="6" s="1"/>
  <c r="G55" i="21"/>
  <c r="G54" i="21"/>
  <c r="F58" i="6" s="1"/>
  <c r="G53" i="21"/>
  <c r="F57" i="6" s="1"/>
  <c r="G52" i="21"/>
  <c r="G51" i="21"/>
  <c r="F55" i="6" s="1"/>
  <c r="F53" i="6"/>
  <c r="F52" i="6"/>
  <c r="G47" i="21"/>
  <c r="G46" i="21"/>
  <c r="F50" i="6" s="1"/>
  <c r="G45" i="21"/>
  <c r="F49" i="6" s="1"/>
  <c r="G44" i="21"/>
  <c r="G43" i="21"/>
  <c r="F47" i="6" s="1"/>
  <c r="G42" i="21"/>
  <c r="G41" i="21"/>
  <c r="F45" i="6" s="1"/>
  <c r="G40" i="21"/>
  <c r="F44" i="6" s="1"/>
  <c r="G39" i="21"/>
  <c r="G38" i="21"/>
  <c r="F42" i="6" s="1"/>
  <c r="G37" i="21"/>
  <c r="F41" i="6" s="1"/>
  <c r="G36" i="21"/>
  <c r="F39" i="6"/>
  <c r="F37" i="6"/>
  <c r="G32" i="21"/>
  <c r="F36" i="6" s="1"/>
  <c r="G31" i="21"/>
  <c r="G30" i="21"/>
  <c r="F34" i="6" s="1"/>
  <c r="G29" i="21"/>
  <c r="F33" i="6" s="1"/>
  <c r="F31" i="6"/>
  <c r="G26" i="21"/>
  <c r="F30" i="6" s="1"/>
  <c r="G25" i="21"/>
  <c r="F29" i="6" s="1"/>
  <c r="G24" i="21"/>
  <c r="F28" i="6" s="1"/>
  <c r="G23" i="21"/>
  <c r="F27" i="6" s="1"/>
  <c r="G22" i="21"/>
  <c r="F26" i="6" s="1"/>
  <c r="G21" i="21"/>
  <c r="G20" i="21"/>
  <c r="F24" i="6" s="1"/>
  <c r="G19" i="21"/>
  <c r="F23" i="6" s="1"/>
  <c r="G18" i="21"/>
  <c r="G17" i="21"/>
  <c r="F21" i="6" s="1"/>
  <c r="G16" i="21"/>
  <c r="F20" i="6" s="1"/>
  <c r="G15" i="21"/>
  <c r="F19" i="6" s="1"/>
  <c r="G14" i="21"/>
  <c r="F18" i="6" s="1"/>
  <c r="G13" i="21"/>
  <c r="G12" i="21"/>
  <c r="G11" i="21"/>
  <c r="F15" i="6" s="1"/>
  <c r="G10" i="21"/>
  <c r="G71" i="21" s="1"/>
  <c r="E42" i="18" s="1"/>
  <c r="G9" i="21"/>
  <c r="F13" i="6" s="1"/>
  <c r="G8" i="21"/>
  <c r="F12" i="6" s="1"/>
  <c r="G7" i="21"/>
  <c r="F11" i="6" s="1"/>
  <c r="G6" i="21"/>
  <c r="F10" i="6" s="1"/>
  <c r="G5" i="21"/>
  <c r="G4" i="21"/>
  <c r="G3" i="21"/>
  <c r="F30" i="11"/>
  <c r="G30" i="11"/>
  <c r="H30" i="11"/>
  <c r="I30" i="11"/>
  <c r="F21" i="11"/>
  <c r="G21" i="11"/>
  <c r="H21" i="11"/>
  <c r="I21" i="11"/>
  <c r="F22" i="11"/>
  <c r="G22" i="11"/>
  <c r="H22" i="11"/>
  <c r="I22" i="11"/>
  <c r="F23" i="11"/>
  <c r="G23" i="11"/>
  <c r="H23" i="11"/>
  <c r="I23" i="11"/>
  <c r="F24" i="11"/>
  <c r="G24" i="11"/>
  <c r="H24" i="11"/>
  <c r="I24" i="11"/>
  <c r="F25" i="11"/>
  <c r="G25" i="11"/>
  <c r="H25" i="11"/>
  <c r="I25" i="11"/>
  <c r="F26" i="11"/>
  <c r="G26" i="11"/>
  <c r="H26" i="11"/>
  <c r="I26" i="11"/>
  <c r="F27" i="11"/>
  <c r="M27" i="11" s="1"/>
  <c r="G27" i="11"/>
  <c r="N27" i="11" s="1"/>
  <c r="H27" i="11"/>
  <c r="O27" i="11" s="1"/>
  <c r="I27" i="11"/>
  <c r="P27" i="11" s="1"/>
  <c r="F10" i="11"/>
  <c r="G10" i="11"/>
  <c r="H10" i="11"/>
  <c r="I10" i="11"/>
  <c r="F11" i="11"/>
  <c r="G11" i="11"/>
  <c r="H11" i="11"/>
  <c r="I11" i="11"/>
  <c r="F12" i="11"/>
  <c r="G12" i="11"/>
  <c r="H12" i="11"/>
  <c r="I12" i="11"/>
  <c r="F13" i="11"/>
  <c r="G13" i="11"/>
  <c r="H13" i="11"/>
  <c r="I13" i="11"/>
  <c r="F14" i="11"/>
  <c r="G14" i="11"/>
  <c r="H14" i="11"/>
  <c r="I14" i="11"/>
  <c r="F15" i="11"/>
  <c r="M15" i="11" s="1"/>
  <c r="G15" i="11"/>
  <c r="N15" i="11" s="1"/>
  <c r="H15" i="11"/>
  <c r="O15" i="11" s="1"/>
  <c r="I15" i="11"/>
  <c r="P15" i="11" s="1"/>
  <c r="F16" i="11"/>
  <c r="G16" i="11"/>
  <c r="H16" i="11"/>
  <c r="I16" i="11"/>
  <c r="F17" i="11"/>
  <c r="G17" i="11"/>
  <c r="H17" i="11"/>
  <c r="I17" i="11"/>
  <c r="F18" i="11"/>
  <c r="G18" i="11"/>
  <c r="H18" i="11"/>
  <c r="I18" i="11"/>
  <c r="F19" i="11"/>
  <c r="G19" i="11"/>
  <c r="H19" i="11"/>
  <c r="I19" i="11"/>
  <c r="E30" i="11"/>
  <c r="E27" i="11"/>
  <c r="L27" i="11" s="1"/>
  <c r="E26" i="11"/>
  <c r="E25" i="11"/>
  <c r="E24" i="11"/>
  <c r="E23" i="11"/>
  <c r="E22" i="11"/>
  <c r="E21" i="11"/>
  <c r="E19" i="11"/>
  <c r="E18" i="11"/>
  <c r="E17" i="11"/>
  <c r="E16" i="11"/>
  <c r="E15" i="11"/>
  <c r="L15" i="11" s="1"/>
  <c r="E14" i="11"/>
  <c r="E13" i="11"/>
  <c r="E12" i="11"/>
  <c r="E11" i="11"/>
  <c r="E10" i="11"/>
  <c r="F9" i="11"/>
  <c r="G9" i="11"/>
  <c r="H9" i="11"/>
  <c r="I9" i="11"/>
  <c r="E9" i="11"/>
  <c r="F29" i="11"/>
  <c r="G29" i="11"/>
  <c r="H29" i="11"/>
  <c r="I29" i="11"/>
  <c r="E29" i="11"/>
  <c r="I28" i="11"/>
  <c r="F28" i="11"/>
  <c r="G28" i="11"/>
  <c r="H28" i="11"/>
  <c r="E28" i="11"/>
  <c r="F20" i="11"/>
  <c r="G20" i="11"/>
  <c r="H20" i="11"/>
  <c r="I20" i="11"/>
  <c r="E20" i="11"/>
  <c r="F31" i="1"/>
  <c r="G31" i="1"/>
  <c r="H31" i="1"/>
  <c r="I31" i="1"/>
  <c r="F30" i="1"/>
  <c r="G30" i="1"/>
  <c r="H30" i="1"/>
  <c r="I30" i="1"/>
  <c r="F29" i="1"/>
  <c r="G29" i="1"/>
  <c r="H29" i="1"/>
  <c r="I29" i="1"/>
  <c r="F28" i="1"/>
  <c r="G28" i="1"/>
  <c r="H28" i="1"/>
  <c r="I28" i="1"/>
  <c r="F27" i="1"/>
  <c r="G27" i="1"/>
  <c r="H27" i="1"/>
  <c r="I27" i="1"/>
  <c r="F26" i="1"/>
  <c r="G26" i="1"/>
  <c r="H26" i="1"/>
  <c r="I26" i="1"/>
  <c r="G25" i="1"/>
  <c r="H25" i="1"/>
  <c r="I25" i="1"/>
  <c r="F25" i="1"/>
  <c r="G24" i="1"/>
  <c r="H24" i="1"/>
  <c r="I24" i="1"/>
  <c r="F24" i="1"/>
  <c r="F23" i="1"/>
  <c r="G23" i="1"/>
  <c r="H23" i="1"/>
  <c r="I23" i="1"/>
  <c r="G22" i="1"/>
  <c r="H22" i="1"/>
  <c r="I22" i="1"/>
  <c r="F22" i="1"/>
  <c r="G21" i="1"/>
  <c r="H21" i="1"/>
  <c r="I21" i="1"/>
  <c r="F21" i="1"/>
  <c r="F20" i="1"/>
  <c r="G20" i="1"/>
  <c r="H20" i="1"/>
  <c r="I20" i="1"/>
  <c r="F19" i="1"/>
  <c r="G19" i="1"/>
  <c r="H19" i="1"/>
  <c r="I19" i="1"/>
  <c r="F18" i="1"/>
  <c r="G18" i="1"/>
  <c r="H18" i="1"/>
  <c r="I18" i="1"/>
  <c r="F17" i="1"/>
  <c r="G17" i="1"/>
  <c r="H17" i="1"/>
  <c r="I17" i="1"/>
  <c r="F16" i="1"/>
  <c r="G16" i="1"/>
  <c r="H16" i="1"/>
  <c r="I16" i="1"/>
  <c r="G15" i="1"/>
  <c r="H15" i="1"/>
  <c r="I15" i="1"/>
  <c r="F15" i="1"/>
  <c r="F14" i="1"/>
  <c r="G14" i="1"/>
  <c r="H14" i="1"/>
  <c r="I14" i="1"/>
  <c r="G13" i="1"/>
  <c r="H13" i="1"/>
  <c r="I13" i="1"/>
  <c r="F13" i="1"/>
  <c r="H12" i="1"/>
  <c r="I12" i="1"/>
  <c r="F12" i="1"/>
  <c r="G12" i="1"/>
  <c r="F11" i="1"/>
  <c r="G11" i="1"/>
  <c r="H11" i="1"/>
  <c r="I11" i="1"/>
  <c r="G10" i="1"/>
  <c r="H10" i="1"/>
  <c r="I10" i="1"/>
  <c r="F10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5" i="1"/>
  <c r="E14" i="1"/>
  <c r="E13" i="1"/>
  <c r="E12" i="1"/>
  <c r="E11" i="1"/>
  <c r="E10" i="1"/>
  <c r="H22" i="10" l="1"/>
  <c r="G72" i="21"/>
  <c r="E43" i="18" s="1"/>
  <c r="F14" i="6"/>
  <c r="F9" i="6"/>
  <c r="F7" i="6"/>
  <c r="G70" i="21"/>
  <c r="E41" i="18" s="1"/>
  <c r="D29" i="27" s="1"/>
  <c r="H23" i="10"/>
  <c r="H19" i="10"/>
  <c r="H21" i="10"/>
  <c r="H20" i="10"/>
  <c r="H42" i="19"/>
  <c r="G42" i="19"/>
  <c r="D70" i="19"/>
  <c r="L48" i="19" s="1"/>
  <c r="F40" i="19"/>
  <c r="F39" i="19"/>
  <c r="F38" i="19"/>
  <c r="F37" i="19"/>
  <c r="F36" i="19"/>
  <c r="F35" i="19"/>
  <c r="F34" i="19"/>
  <c r="F33" i="19"/>
  <c r="F32" i="19"/>
  <c r="F31" i="19"/>
  <c r="F30" i="19"/>
  <c r="F29" i="19"/>
  <c r="F28" i="19"/>
  <c r="F27" i="19"/>
  <c r="F26" i="19"/>
  <c r="F25" i="19"/>
  <c r="F24" i="19"/>
  <c r="F23" i="19"/>
  <c r="F22" i="19"/>
  <c r="F21" i="19"/>
  <c r="F20" i="19"/>
  <c r="F19" i="19"/>
  <c r="F63" i="19" l="1"/>
  <c r="F55" i="19"/>
  <c r="D36" i="27"/>
  <c r="D28" i="27"/>
  <c r="D14" i="27" s="1"/>
  <c r="H24" i="10"/>
  <c r="F65" i="19"/>
  <c r="F57" i="19"/>
  <c r="F49" i="19"/>
  <c r="F64" i="19"/>
  <c r="F56" i="19"/>
  <c r="E48" i="19"/>
  <c r="F48" i="19"/>
  <c r="F62" i="19"/>
  <c r="F54" i="19"/>
  <c r="F69" i="19"/>
  <c r="F53" i="19"/>
  <c r="F68" i="19"/>
  <c r="F52" i="19"/>
  <c r="F67" i="19"/>
  <c r="F59" i="19"/>
  <c r="F51" i="19"/>
  <c r="F42" i="19"/>
  <c r="F61" i="19"/>
  <c r="F60" i="19"/>
  <c r="F66" i="19"/>
  <c r="F58" i="19"/>
  <c r="F50" i="19"/>
  <c r="E10" i="10" l="1"/>
  <c r="E8" i="10"/>
  <c r="E12" i="10"/>
  <c r="E9" i="10"/>
  <c r="E11" i="10"/>
  <c r="F9" i="10"/>
  <c r="F11" i="10"/>
  <c r="F12" i="10"/>
  <c r="F8" i="10"/>
  <c r="F10" i="10"/>
  <c r="P39" i="10"/>
  <c r="C18" i="30" s="1"/>
  <c r="P51" i="10"/>
  <c r="F26" i="15" s="1"/>
  <c r="P31" i="10"/>
  <c r="P48" i="10"/>
  <c r="C27" i="30" s="1"/>
  <c r="P34" i="10"/>
  <c r="C13" i="30" s="1"/>
  <c r="P49" i="10"/>
  <c r="C28" i="30" s="1"/>
  <c r="P32" i="10"/>
  <c r="C11" i="30" s="1"/>
  <c r="P36" i="10"/>
  <c r="C15" i="30" s="1"/>
  <c r="P40" i="10"/>
  <c r="C19" i="30" s="1"/>
  <c r="P47" i="10"/>
  <c r="C26" i="30" s="1"/>
  <c r="P38" i="10"/>
  <c r="C17" i="30" s="1"/>
  <c r="P35" i="10"/>
  <c r="C14" i="30" s="1"/>
  <c r="P46" i="10"/>
  <c r="C25" i="30" s="1"/>
  <c r="P43" i="10"/>
  <c r="C22" i="30" s="1"/>
  <c r="P33" i="10"/>
  <c r="C12" i="30" s="1"/>
  <c r="P41" i="10"/>
  <c r="C20" i="30" s="1"/>
  <c r="P37" i="10"/>
  <c r="C16" i="30" s="1"/>
  <c r="P50" i="10"/>
  <c r="C29" i="30" s="1"/>
  <c r="P44" i="10"/>
  <c r="C23" i="30" s="1"/>
  <c r="P45" i="10"/>
  <c r="C24" i="30" s="1"/>
  <c r="P42" i="10"/>
  <c r="C21" i="30" s="1"/>
  <c r="I52" i="19"/>
  <c r="G56" i="19"/>
  <c r="H56" i="19" s="1"/>
  <c r="J56" i="19" s="1"/>
  <c r="G64" i="19"/>
  <c r="H64" i="19" s="1"/>
  <c r="J64" i="19" s="1"/>
  <c r="G50" i="19"/>
  <c r="H50" i="19" s="1"/>
  <c r="J50" i="19" s="1"/>
  <c r="G66" i="19"/>
  <c r="H66" i="19" s="1"/>
  <c r="J66" i="19" s="1"/>
  <c r="G51" i="19"/>
  <c r="H51" i="19" s="1"/>
  <c r="J51" i="19" s="1"/>
  <c r="G67" i="19"/>
  <c r="G53" i="19"/>
  <c r="G61" i="19"/>
  <c r="H61" i="19" s="1"/>
  <c r="J61" i="19" s="1"/>
  <c r="G49" i="19"/>
  <c r="H49" i="19" s="1"/>
  <c r="J49" i="19" s="1"/>
  <c r="G57" i="19"/>
  <c r="H57" i="19" s="1"/>
  <c r="J57" i="19" s="1"/>
  <c r="G65" i="19"/>
  <c r="H65" i="19" s="1"/>
  <c r="J65" i="19" s="1"/>
  <c r="G58" i="19"/>
  <c r="H58" i="19" s="1"/>
  <c r="J58" i="19" s="1"/>
  <c r="G59" i="19"/>
  <c r="G52" i="19"/>
  <c r="H52" i="19" s="1"/>
  <c r="G60" i="19"/>
  <c r="H60" i="19" s="1"/>
  <c r="J60" i="19" s="1"/>
  <c r="G68" i="19"/>
  <c r="G69" i="19"/>
  <c r="G54" i="19"/>
  <c r="G62" i="19"/>
  <c r="G48" i="19"/>
  <c r="H48" i="19" s="1"/>
  <c r="J48" i="19" s="1"/>
  <c r="G55" i="19"/>
  <c r="G63" i="19"/>
  <c r="I65" i="19"/>
  <c r="I49" i="19"/>
  <c r="I56" i="19"/>
  <c r="I51" i="19"/>
  <c r="I58" i="19"/>
  <c r="I66" i="19"/>
  <c r="J52" i="19"/>
  <c r="I48" i="19"/>
  <c r="P52" i="10" l="1"/>
  <c r="C30" i="30"/>
  <c r="C10" i="30"/>
  <c r="H54" i="19"/>
  <c r="J54" i="19" s="1"/>
  <c r="I54" i="19"/>
  <c r="H62" i="19"/>
  <c r="J62" i="19" s="1"/>
  <c r="I62" i="19"/>
  <c r="I57" i="19"/>
  <c r="I68" i="19"/>
  <c r="H68" i="19"/>
  <c r="J68" i="19" s="1"/>
  <c r="I60" i="19"/>
  <c r="I67" i="19"/>
  <c r="H67" i="19"/>
  <c r="J67" i="19" s="1"/>
  <c r="I64" i="19"/>
  <c r="I61" i="19"/>
  <c r="H53" i="19"/>
  <c r="J53" i="19" s="1"/>
  <c r="J70" i="19" s="1"/>
  <c r="N48" i="19" s="1"/>
  <c r="I53" i="19"/>
  <c r="H55" i="19"/>
  <c r="J55" i="19" s="1"/>
  <c r="I55" i="19"/>
  <c r="H59" i="19"/>
  <c r="J59" i="19" s="1"/>
  <c r="I59" i="19"/>
  <c r="H69" i="19"/>
  <c r="J69" i="19" s="1"/>
  <c r="I69" i="19"/>
  <c r="I50" i="19"/>
  <c r="H63" i="19"/>
  <c r="J63" i="19" s="1"/>
  <c r="I63" i="19"/>
  <c r="I70" i="19" l="1"/>
  <c r="M48" i="19" s="1"/>
  <c r="O48" i="19" s="1"/>
  <c r="P49" i="19" l="1"/>
  <c r="Q49" i="19" s="1"/>
  <c r="R49" i="19" s="1"/>
  <c r="P57" i="19"/>
  <c r="Q57" i="19" s="1"/>
  <c r="R57" i="19" s="1"/>
  <c r="P65" i="19"/>
  <c r="Q65" i="19" s="1"/>
  <c r="R65" i="19" s="1"/>
  <c r="P51" i="19"/>
  <c r="Q51" i="19" s="1"/>
  <c r="R51" i="19" s="1"/>
  <c r="P60" i="19"/>
  <c r="Q60" i="19" s="1"/>
  <c r="R60" i="19" s="1"/>
  <c r="P62" i="19"/>
  <c r="Q62" i="19" s="1"/>
  <c r="R62" i="19" s="1"/>
  <c r="P50" i="19"/>
  <c r="Q50" i="19" s="1"/>
  <c r="R50" i="19" s="1"/>
  <c r="P58" i="19"/>
  <c r="Q58" i="19" s="1"/>
  <c r="R58" i="19" s="1"/>
  <c r="P66" i="19"/>
  <c r="Q66" i="19" s="1"/>
  <c r="R66" i="19" s="1"/>
  <c r="P59" i="19"/>
  <c r="Q59" i="19" s="1"/>
  <c r="R59" i="19" s="1"/>
  <c r="P67" i="19"/>
  <c r="Q67" i="19" s="1"/>
  <c r="R67" i="19" s="1"/>
  <c r="P52" i="19"/>
  <c r="Q52" i="19" s="1"/>
  <c r="R52" i="19" s="1"/>
  <c r="P68" i="19"/>
  <c r="Q68" i="19" s="1"/>
  <c r="R68" i="19" s="1"/>
  <c r="P61" i="19"/>
  <c r="Q61" i="19" s="1"/>
  <c r="R61" i="19" s="1"/>
  <c r="P69" i="19"/>
  <c r="Q69" i="19" s="1"/>
  <c r="R69" i="19" s="1"/>
  <c r="P48" i="19"/>
  <c r="Q48" i="19" s="1"/>
  <c r="R48" i="19" s="1"/>
  <c r="P53" i="19"/>
  <c r="Q53" i="19" s="1"/>
  <c r="R53" i="19" s="1"/>
  <c r="P54" i="19"/>
  <c r="Q54" i="19" s="1"/>
  <c r="R54" i="19" s="1"/>
  <c r="P55" i="19"/>
  <c r="Q55" i="19" s="1"/>
  <c r="R55" i="19" s="1"/>
  <c r="P63" i="19"/>
  <c r="Q63" i="19" s="1"/>
  <c r="R63" i="19" s="1"/>
  <c r="P56" i="19"/>
  <c r="Q56" i="19" s="1"/>
  <c r="R56" i="19" s="1"/>
  <c r="P64" i="19"/>
  <c r="Q64" i="19" s="1"/>
  <c r="R64" i="19" s="1"/>
  <c r="R70" i="19" l="1"/>
  <c r="Q70" i="19"/>
  <c r="M8" i="6" l="1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" i="6"/>
  <c r="L71" i="6"/>
  <c r="L72" i="6"/>
  <c r="L70" i="6"/>
  <c r="L68" i="6"/>
  <c r="L69" i="6"/>
  <c r="L67" i="6"/>
  <c r="L65" i="6"/>
  <c r="L66" i="6"/>
  <c r="L64" i="6"/>
  <c r="L62" i="6"/>
  <c r="L63" i="6"/>
  <c r="L61" i="6"/>
  <c r="L59" i="6"/>
  <c r="L60" i="6"/>
  <c r="L58" i="6"/>
  <c r="L56" i="6"/>
  <c r="L57" i="6"/>
  <c r="L55" i="6"/>
  <c r="L53" i="6"/>
  <c r="L54" i="6"/>
  <c r="L52" i="6"/>
  <c r="L50" i="6"/>
  <c r="L51" i="6"/>
  <c r="L49" i="6"/>
  <c r="L47" i="6"/>
  <c r="L48" i="6"/>
  <c r="L46" i="6"/>
  <c r="L44" i="6"/>
  <c r="L45" i="6"/>
  <c r="L43" i="6"/>
  <c r="L41" i="6"/>
  <c r="L42" i="6"/>
  <c r="L40" i="6"/>
  <c r="L38" i="6"/>
  <c r="L39" i="6"/>
  <c r="L37" i="6"/>
  <c r="L35" i="6"/>
  <c r="L36" i="6"/>
  <c r="L34" i="6"/>
  <c r="L32" i="6"/>
  <c r="L33" i="6"/>
  <c r="L31" i="6"/>
  <c r="L29" i="6"/>
  <c r="L30" i="6"/>
  <c r="L28" i="6"/>
  <c r="L26" i="6"/>
  <c r="L27" i="6"/>
  <c r="L25" i="6"/>
  <c r="L23" i="6"/>
  <c r="L24" i="6"/>
  <c r="L22" i="6"/>
  <c r="L20" i="6"/>
  <c r="L21" i="6"/>
  <c r="L19" i="6"/>
  <c r="L17" i="6"/>
  <c r="L18" i="6"/>
  <c r="L16" i="6"/>
  <c r="L14" i="6"/>
  <c r="L15" i="6"/>
  <c r="L13" i="6"/>
  <c r="L11" i="6"/>
  <c r="L12" i="6"/>
  <c r="L10" i="6"/>
  <c r="L8" i="6"/>
  <c r="L9" i="6"/>
  <c r="L7" i="6"/>
  <c r="AM146" i="9"/>
  <c r="AM145" i="9"/>
  <c r="AM144" i="9"/>
  <c r="AM143" i="9"/>
  <c r="AM142" i="9"/>
  <c r="AM141" i="9"/>
  <c r="AM140" i="9"/>
  <c r="AM139" i="9"/>
  <c r="AM138" i="9"/>
  <c r="AM137" i="9"/>
  <c r="AM136" i="9"/>
  <c r="AM135" i="9"/>
  <c r="AM134" i="9"/>
  <c r="AM133" i="9"/>
  <c r="AM132" i="9"/>
  <c r="AM131" i="9"/>
  <c r="AM130" i="9"/>
  <c r="AM129" i="9"/>
  <c r="AM128" i="9"/>
  <c r="AM127" i="9"/>
  <c r="AM126" i="9"/>
  <c r="AM125" i="9"/>
  <c r="AM124" i="9"/>
  <c r="AM123" i="9"/>
  <c r="AM122" i="9"/>
  <c r="AM121" i="9"/>
  <c r="AM120" i="9"/>
  <c r="AM119" i="9"/>
  <c r="AM118" i="9"/>
  <c r="AM117" i="9"/>
  <c r="AM116" i="9"/>
  <c r="AM115" i="9"/>
  <c r="AM114" i="9"/>
  <c r="AM113" i="9"/>
  <c r="AM112" i="9"/>
  <c r="AM111" i="9"/>
  <c r="AM110" i="9"/>
  <c r="AM109" i="9"/>
  <c r="AM108" i="9"/>
  <c r="AM107" i="9"/>
  <c r="AM106" i="9"/>
  <c r="AM105" i="9"/>
  <c r="AM104" i="9"/>
  <c r="AM103" i="9"/>
  <c r="AM102" i="9"/>
  <c r="AM101" i="9"/>
  <c r="AM100" i="9"/>
  <c r="AM99" i="9"/>
  <c r="AM98" i="9"/>
  <c r="AM97" i="9"/>
  <c r="AM96" i="9"/>
  <c r="AM95" i="9"/>
  <c r="AM94" i="9"/>
  <c r="AM93" i="9"/>
  <c r="AM92" i="9"/>
  <c r="AM91" i="9"/>
  <c r="AM90" i="9"/>
  <c r="AM89" i="9"/>
  <c r="AM88" i="9"/>
  <c r="AM87" i="9"/>
  <c r="AM86" i="9"/>
  <c r="AM85" i="9"/>
  <c r="AM84" i="9"/>
  <c r="AM83" i="9"/>
  <c r="AM82" i="9"/>
  <c r="AM81" i="9"/>
  <c r="AM80" i="9"/>
  <c r="AM79" i="9"/>
  <c r="AM78" i="9"/>
  <c r="AM77" i="9"/>
  <c r="AM76" i="9"/>
  <c r="AM75" i="9"/>
  <c r="AM74" i="9"/>
  <c r="AM73" i="9"/>
  <c r="AM72" i="9"/>
  <c r="AM71" i="9"/>
  <c r="AM70" i="9"/>
  <c r="AM69" i="9"/>
  <c r="AM68" i="9"/>
  <c r="AM67" i="9"/>
  <c r="AM66" i="9"/>
  <c r="AM65" i="9"/>
  <c r="AM64" i="9"/>
  <c r="AM63" i="9"/>
  <c r="AM62" i="9"/>
  <c r="AM61" i="9"/>
  <c r="AM60" i="9"/>
  <c r="AM59" i="9"/>
  <c r="AM58" i="9"/>
  <c r="AM57" i="9"/>
  <c r="AM56" i="9"/>
  <c r="AM55" i="9"/>
  <c r="AM54" i="9"/>
  <c r="AM53" i="9"/>
  <c r="AM52" i="9"/>
  <c r="AM51" i="9"/>
  <c r="AM50" i="9"/>
  <c r="AM49" i="9"/>
  <c r="AM48" i="9"/>
  <c r="AM47" i="9"/>
  <c r="AM46" i="9"/>
  <c r="AM45" i="9"/>
  <c r="AM44" i="9"/>
  <c r="AM43" i="9"/>
  <c r="AM42" i="9"/>
  <c r="AM41" i="9"/>
  <c r="AM40" i="9"/>
  <c r="AM39" i="9"/>
  <c r="AM38" i="9"/>
  <c r="AM37" i="9"/>
  <c r="AM36" i="9"/>
  <c r="AM35" i="9"/>
  <c r="AM34" i="9"/>
  <c r="AM33" i="9"/>
  <c r="AM32" i="9"/>
  <c r="AM31" i="9"/>
  <c r="AM30" i="9"/>
  <c r="AM29" i="9"/>
  <c r="AM28" i="9"/>
  <c r="AM27" i="9"/>
  <c r="AM26" i="9"/>
  <c r="AM25" i="9"/>
  <c r="AM24" i="9"/>
  <c r="AM23" i="9"/>
  <c r="AM22" i="9"/>
  <c r="AM21" i="9"/>
  <c r="AM20" i="9"/>
  <c r="AM19" i="9"/>
  <c r="AM18" i="9"/>
  <c r="AM17" i="9"/>
  <c r="AM16" i="9"/>
  <c r="AM15" i="9"/>
  <c r="AM14" i="9"/>
  <c r="AM13" i="9"/>
  <c r="AM12" i="9"/>
  <c r="AM11" i="9"/>
  <c r="AM10" i="9"/>
  <c r="AM9" i="9"/>
  <c r="AF146" i="9"/>
  <c r="AF145" i="9"/>
  <c r="AF144" i="9"/>
  <c r="AF143" i="9"/>
  <c r="AF142" i="9"/>
  <c r="AF141" i="9"/>
  <c r="AF140" i="9"/>
  <c r="AF139" i="9"/>
  <c r="AF138" i="9"/>
  <c r="AF137" i="9"/>
  <c r="AF136" i="9"/>
  <c r="AF135" i="9"/>
  <c r="AF134" i="9"/>
  <c r="AF133" i="9"/>
  <c r="AF132" i="9"/>
  <c r="AF131" i="9"/>
  <c r="AF130" i="9"/>
  <c r="AF129" i="9"/>
  <c r="AF128" i="9"/>
  <c r="AF127" i="9"/>
  <c r="AF126" i="9"/>
  <c r="AF125" i="9"/>
  <c r="AF124" i="9"/>
  <c r="AF123" i="9"/>
  <c r="AF122" i="9"/>
  <c r="AF121" i="9"/>
  <c r="AF120" i="9"/>
  <c r="AF119" i="9"/>
  <c r="AF118" i="9"/>
  <c r="AF117" i="9"/>
  <c r="AF116" i="9"/>
  <c r="AF115" i="9"/>
  <c r="AF114" i="9"/>
  <c r="AF113" i="9"/>
  <c r="AF112" i="9"/>
  <c r="AF111" i="9"/>
  <c r="AF110" i="9"/>
  <c r="AF109" i="9"/>
  <c r="AF108" i="9"/>
  <c r="AF107" i="9"/>
  <c r="AF106" i="9"/>
  <c r="AF105" i="9"/>
  <c r="AF104" i="9"/>
  <c r="AF103" i="9"/>
  <c r="AF102" i="9"/>
  <c r="AF101" i="9"/>
  <c r="AF100" i="9"/>
  <c r="AF99" i="9"/>
  <c r="AF98" i="9"/>
  <c r="AF97" i="9"/>
  <c r="AF96" i="9"/>
  <c r="AF95" i="9"/>
  <c r="AF94" i="9"/>
  <c r="AF93" i="9"/>
  <c r="AF92" i="9"/>
  <c r="AF91" i="9"/>
  <c r="AF90" i="9"/>
  <c r="AF89" i="9"/>
  <c r="AF88" i="9"/>
  <c r="AF87" i="9"/>
  <c r="AF86" i="9"/>
  <c r="AF85" i="9"/>
  <c r="AF84" i="9"/>
  <c r="AF83" i="9"/>
  <c r="AF82" i="9"/>
  <c r="AF81" i="9"/>
  <c r="AF80" i="9"/>
  <c r="AF79" i="9"/>
  <c r="AF78" i="9"/>
  <c r="AF77" i="9"/>
  <c r="AF76" i="9"/>
  <c r="AF75" i="9"/>
  <c r="AF74" i="9"/>
  <c r="AF73" i="9"/>
  <c r="AF72" i="9"/>
  <c r="AF71" i="9"/>
  <c r="AF70" i="9"/>
  <c r="AF69" i="9"/>
  <c r="AF68" i="9"/>
  <c r="AF67" i="9"/>
  <c r="AF66" i="9"/>
  <c r="AF65" i="9"/>
  <c r="AF64" i="9"/>
  <c r="AF63" i="9"/>
  <c r="AF62" i="9"/>
  <c r="AF61" i="9"/>
  <c r="AF60" i="9"/>
  <c r="AF59" i="9"/>
  <c r="AF58" i="9"/>
  <c r="AF57" i="9"/>
  <c r="AF56" i="9"/>
  <c r="AF55" i="9"/>
  <c r="AF54" i="9"/>
  <c r="AF53" i="9"/>
  <c r="AF52" i="9"/>
  <c r="AF51" i="9"/>
  <c r="AF50" i="9"/>
  <c r="AF49" i="9"/>
  <c r="AF48" i="9"/>
  <c r="AF47" i="9"/>
  <c r="AF46" i="9"/>
  <c r="AF45" i="9"/>
  <c r="AF44" i="9"/>
  <c r="AF43" i="9"/>
  <c r="AF42" i="9"/>
  <c r="AF41" i="9"/>
  <c r="AF40" i="9"/>
  <c r="AF39" i="9"/>
  <c r="AF38" i="9"/>
  <c r="AF37" i="9"/>
  <c r="AF36" i="9"/>
  <c r="AF35" i="9"/>
  <c r="AF34" i="9"/>
  <c r="AF33" i="9"/>
  <c r="AF32" i="9"/>
  <c r="AF31" i="9"/>
  <c r="AF30" i="9"/>
  <c r="AF29" i="9"/>
  <c r="AF28" i="9"/>
  <c r="AF27" i="9"/>
  <c r="AF26" i="9"/>
  <c r="AF25" i="9"/>
  <c r="AF24" i="9"/>
  <c r="AF23" i="9"/>
  <c r="AF22" i="9"/>
  <c r="AF21" i="9"/>
  <c r="AF20" i="9"/>
  <c r="AF19" i="9"/>
  <c r="AF18" i="9"/>
  <c r="AF17" i="9"/>
  <c r="AF16" i="9"/>
  <c r="AF15" i="9"/>
  <c r="AF14" i="9"/>
  <c r="AF13" i="9"/>
  <c r="AF12" i="9"/>
  <c r="AF11" i="9"/>
  <c r="AF10" i="9"/>
  <c r="AF9" i="9"/>
  <c r="Y10" i="9"/>
  <c r="Y11" i="9"/>
  <c r="Y12" i="9"/>
  <c r="Y13" i="9"/>
  <c r="Y14" i="9"/>
  <c r="Y15" i="9"/>
  <c r="Y16" i="9"/>
  <c r="Y17" i="9"/>
  <c r="Y18" i="9"/>
  <c r="Y19" i="9"/>
  <c r="Y20" i="9"/>
  <c r="Y21" i="9"/>
  <c r="Y22" i="9"/>
  <c r="Y23" i="9"/>
  <c r="Y24" i="9"/>
  <c r="Y25" i="9"/>
  <c r="Y26" i="9"/>
  <c r="Y27" i="9"/>
  <c r="Y28" i="9"/>
  <c r="Y29" i="9"/>
  <c r="Y30" i="9"/>
  <c r="Y31" i="9"/>
  <c r="Y32" i="9"/>
  <c r="Y33" i="9"/>
  <c r="Y34" i="9"/>
  <c r="Y35" i="9"/>
  <c r="Y36" i="9"/>
  <c r="Y37" i="9"/>
  <c r="Y38" i="9"/>
  <c r="Y39" i="9"/>
  <c r="Y40" i="9"/>
  <c r="Y41" i="9"/>
  <c r="Y42" i="9"/>
  <c r="Y43" i="9"/>
  <c r="Y44" i="9"/>
  <c r="Y45" i="9"/>
  <c r="Y46" i="9"/>
  <c r="Y47" i="9"/>
  <c r="Y48" i="9"/>
  <c r="Y49" i="9"/>
  <c r="Y50" i="9"/>
  <c r="Y51" i="9"/>
  <c r="Y52" i="9"/>
  <c r="Y53" i="9"/>
  <c r="Y54" i="9"/>
  <c r="Y55" i="9"/>
  <c r="Y56" i="9"/>
  <c r="Y57" i="9"/>
  <c r="Y58" i="9"/>
  <c r="Y59" i="9"/>
  <c r="Y60" i="9"/>
  <c r="Y61" i="9"/>
  <c r="Y62" i="9"/>
  <c r="Y63" i="9"/>
  <c r="Y64" i="9"/>
  <c r="Y65" i="9"/>
  <c r="Y66" i="9"/>
  <c r="Y67" i="9"/>
  <c r="Y68" i="9"/>
  <c r="Y69" i="9"/>
  <c r="Y70" i="9"/>
  <c r="Y71" i="9"/>
  <c r="Y72" i="9"/>
  <c r="Y73" i="9"/>
  <c r="Y74" i="9"/>
  <c r="Y75" i="9"/>
  <c r="Y76" i="9"/>
  <c r="Y77" i="9"/>
  <c r="Y78" i="9"/>
  <c r="Y79" i="9"/>
  <c r="Y80" i="9"/>
  <c r="Y81" i="9"/>
  <c r="Y82" i="9"/>
  <c r="Y83" i="9"/>
  <c r="Y84" i="9"/>
  <c r="Y85" i="9"/>
  <c r="Y86" i="9"/>
  <c r="Y87" i="9"/>
  <c r="Y88" i="9"/>
  <c r="Y89" i="9"/>
  <c r="Y90" i="9"/>
  <c r="Y91" i="9"/>
  <c r="Y92" i="9"/>
  <c r="Y93" i="9"/>
  <c r="Y94" i="9"/>
  <c r="Y95" i="9"/>
  <c r="Y96" i="9"/>
  <c r="Y97" i="9"/>
  <c r="Y98" i="9"/>
  <c r="Y99" i="9"/>
  <c r="Y100" i="9"/>
  <c r="Y101" i="9"/>
  <c r="Y102" i="9"/>
  <c r="Y103" i="9"/>
  <c r="Y104" i="9"/>
  <c r="Y105" i="9"/>
  <c r="Y106" i="9"/>
  <c r="Y107" i="9"/>
  <c r="Y108" i="9"/>
  <c r="Y109" i="9"/>
  <c r="Y110" i="9"/>
  <c r="Y111" i="9"/>
  <c r="Y112" i="9"/>
  <c r="Y113" i="9"/>
  <c r="Y114" i="9"/>
  <c r="Y115" i="9"/>
  <c r="Y116" i="9"/>
  <c r="Y117" i="9"/>
  <c r="Y118" i="9"/>
  <c r="Y119" i="9"/>
  <c r="Y120" i="9"/>
  <c r="Y121" i="9"/>
  <c r="Y122" i="9"/>
  <c r="Y123" i="9"/>
  <c r="Y124" i="9"/>
  <c r="Y125" i="9"/>
  <c r="Y126" i="9"/>
  <c r="Y127" i="9"/>
  <c r="Y128" i="9"/>
  <c r="Y129" i="9"/>
  <c r="Y130" i="9"/>
  <c r="Y131" i="9"/>
  <c r="Y132" i="9"/>
  <c r="Y133" i="9"/>
  <c r="Y134" i="9"/>
  <c r="Y135" i="9"/>
  <c r="Y136" i="9"/>
  <c r="Y137" i="9"/>
  <c r="Y138" i="9"/>
  <c r="Y139" i="9"/>
  <c r="Y140" i="9"/>
  <c r="Y141" i="9"/>
  <c r="Y142" i="9"/>
  <c r="Y143" i="9"/>
  <c r="Y144" i="9"/>
  <c r="Y145" i="9"/>
  <c r="Y146" i="9"/>
  <c r="Y9" i="9"/>
  <c r="R10" i="9"/>
  <c r="R11" i="9"/>
  <c r="R12" i="9"/>
  <c r="R13" i="9"/>
  <c r="R14" i="9"/>
  <c r="R15" i="9"/>
  <c r="R16" i="9"/>
  <c r="R17" i="9"/>
  <c r="R18" i="9"/>
  <c r="R19" i="9"/>
  <c r="R20" i="9"/>
  <c r="R21" i="9"/>
  <c r="R22" i="9"/>
  <c r="R23" i="9"/>
  <c r="R24" i="9"/>
  <c r="R25" i="9"/>
  <c r="R26" i="9"/>
  <c r="R27" i="9"/>
  <c r="R28" i="9"/>
  <c r="R29" i="9"/>
  <c r="R30" i="9"/>
  <c r="R31" i="9"/>
  <c r="R32" i="9"/>
  <c r="R33" i="9"/>
  <c r="R34" i="9"/>
  <c r="R35" i="9"/>
  <c r="R36" i="9"/>
  <c r="R37" i="9"/>
  <c r="R38" i="9"/>
  <c r="R39" i="9"/>
  <c r="R40" i="9"/>
  <c r="R41" i="9"/>
  <c r="R42" i="9"/>
  <c r="R43" i="9"/>
  <c r="R44" i="9"/>
  <c r="R45" i="9"/>
  <c r="R46" i="9"/>
  <c r="R47" i="9"/>
  <c r="R48" i="9"/>
  <c r="R49" i="9"/>
  <c r="R50" i="9"/>
  <c r="R51" i="9"/>
  <c r="R52" i="9"/>
  <c r="R53" i="9"/>
  <c r="R54" i="9"/>
  <c r="R55" i="9"/>
  <c r="R56" i="9"/>
  <c r="R57" i="9"/>
  <c r="R58" i="9"/>
  <c r="R59" i="9"/>
  <c r="R60" i="9"/>
  <c r="R61" i="9"/>
  <c r="R62" i="9"/>
  <c r="R63" i="9"/>
  <c r="R64" i="9"/>
  <c r="R65" i="9"/>
  <c r="R66" i="9"/>
  <c r="R67" i="9"/>
  <c r="R68" i="9"/>
  <c r="R69" i="9"/>
  <c r="R70" i="9"/>
  <c r="R71" i="9"/>
  <c r="R72" i="9"/>
  <c r="R73" i="9"/>
  <c r="R74" i="9"/>
  <c r="R75" i="9"/>
  <c r="R76" i="9"/>
  <c r="R77" i="9"/>
  <c r="R78" i="9"/>
  <c r="R79" i="9"/>
  <c r="R80" i="9"/>
  <c r="R81" i="9"/>
  <c r="R82" i="9"/>
  <c r="R83" i="9"/>
  <c r="R84" i="9"/>
  <c r="R85" i="9"/>
  <c r="R86" i="9"/>
  <c r="R87" i="9"/>
  <c r="R88" i="9"/>
  <c r="R89" i="9"/>
  <c r="R90" i="9"/>
  <c r="R91" i="9"/>
  <c r="R92" i="9"/>
  <c r="R93" i="9"/>
  <c r="R94" i="9"/>
  <c r="R95" i="9"/>
  <c r="R96" i="9"/>
  <c r="R97" i="9"/>
  <c r="R98" i="9"/>
  <c r="R99" i="9"/>
  <c r="R100" i="9"/>
  <c r="R101" i="9"/>
  <c r="R102" i="9"/>
  <c r="R103" i="9"/>
  <c r="R104" i="9"/>
  <c r="R105" i="9"/>
  <c r="R106" i="9"/>
  <c r="R107" i="9"/>
  <c r="R108" i="9"/>
  <c r="R109" i="9"/>
  <c r="R110" i="9"/>
  <c r="R111" i="9"/>
  <c r="R112" i="9"/>
  <c r="R113" i="9"/>
  <c r="R114" i="9"/>
  <c r="R115" i="9"/>
  <c r="R116" i="9"/>
  <c r="R117" i="9"/>
  <c r="R118" i="9"/>
  <c r="R119" i="9"/>
  <c r="R120" i="9"/>
  <c r="R121" i="9"/>
  <c r="R122" i="9"/>
  <c r="R123" i="9"/>
  <c r="R124" i="9"/>
  <c r="R125" i="9"/>
  <c r="R126" i="9"/>
  <c r="R127" i="9"/>
  <c r="R128" i="9"/>
  <c r="R129" i="9"/>
  <c r="R130" i="9"/>
  <c r="R131" i="9"/>
  <c r="R132" i="9"/>
  <c r="R133" i="9"/>
  <c r="R134" i="9"/>
  <c r="R135" i="9"/>
  <c r="R136" i="9"/>
  <c r="R137" i="9"/>
  <c r="R138" i="9"/>
  <c r="R139" i="9"/>
  <c r="R140" i="9"/>
  <c r="R141" i="9"/>
  <c r="R142" i="9"/>
  <c r="R143" i="9"/>
  <c r="R144" i="9"/>
  <c r="R145" i="9"/>
  <c r="R146" i="9"/>
  <c r="R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25" i="9"/>
  <c r="K26" i="9"/>
  <c r="K27" i="9"/>
  <c r="K28" i="9"/>
  <c r="K29" i="9"/>
  <c r="K30" i="9"/>
  <c r="K31" i="9"/>
  <c r="K32" i="9"/>
  <c r="K33" i="9"/>
  <c r="K34" i="9"/>
  <c r="K35" i="9"/>
  <c r="K36" i="9"/>
  <c r="K37" i="9"/>
  <c r="K38" i="9"/>
  <c r="K39" i="9"/>
  <c r="K40" i="9"/>
  <c r="K41" i="9"/>
  <c r="K42" i="9"/>
  <c r="K43" i="9"/>
  <c r="K44" i="9"/>
  <c r="K45" i="9"/>
  <c r="K46" i="9"/>
  <c r="K47" i="9"/>
  <c r="K48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K64" i="9"/>
  <c r="K65" i="9"/>
  <c r="K66" i="9"/>
  <c r="K67" i="9"/>
  <c r="K68" i="9"/>
  <c r="K69" i="9"/>
  <c r="K70" i="9"/>
  <c r="K71" i="9"/>
  <c r="K72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93" i="9"/>
  <c r="K94" i="9"/>
  <c r="K95" i="9"/>
  <c r="K96" i="9"/>
  <c r="K97" i="9"/>
  <c r="K98" i="9"/>
  <c r="K99" i="9"/>
  <c r="K100" i="9"/>
  <c r="K101" i="9"/>
  <c r="K102" i="9"/>
  <c r="K103" i="9"/>
  <c r="K104" i="9"/>
  <c r="K105" i="9"/>
  <c r="K106" i="9"/>
  <c r="K107" i="9"/>
  <c r="K108" i="9"/>
  <c r="K109" i="9"/>
  <c r="K110" i="9"/>
  <c r="K111" i="9"/>
  <c r="K112" i="9"/>
  <c r="K113" i="9"/>
  <c r="K114" i="9"/>
  <c r="K115" i="9"/>
  <c r="K116" i="9"/>
  <c r="K117" i="9"/>
  <c r="K118" i="9"/>
  <c r="K119" i="9"/>
  <c r="K120" i="9"/>
  <c r="K121" i="9"/>
  <c r="K122" i="9"/>
  <c r="K123" i="9"/>
  <c r="K124" i="9"/>
  <c r="K125" i="9"/>
  <c r="K126" i="9"/>
  <c r="K127" i="9"/>
  <c r="K128" i="9"/>
  <c r="K129" i="9"/>
  <c r="K130" i="9"/>
  <c r="K131" i="9"/>
  <c r="K132" i="9"/>
  <c r="K133" i="9"/>
  <c r="K134" i="9"/>
  <c r="K135" i="9"/>
  <c r="K136" i="9"/>
  <c r="K137" i="9"/>
  <c r="K138" i="9"/>
  <c r="K139" i="9"/>
  <c r="K140" i="9"/>
  <c r="K141" i="9"/>
  <c r="K142" i="9"/>
  <c r="K143" i="9"/>
  <c r="K144" i="9"/>
  <c r="K145" i="9"/>
  <c r="K146" i="9"/>
  <c r="K9" i="9"/>
  <c r="AJ10" i="12"/>
  <c r="AJ11" i="12"/>
  <c r="AJ12" i="12"/>
  <c r="AJ13" i="12"/>
  <c r="AJ14" i="12"/>
  <c r="AJ15" i="12"/>
  <c r="AJ16" i="12"/>
  <c r="AJ17" i="12"/>
  <c r="AJ18" i="12"/>
  <c r="AJ19" i="12"/>
  <c r="AJ20" i="12"/>
  <c r="AJ21" i="12"/>
  <c r="AJ22" i="12"/>
  <c r="AJ23" i="12"/>
  <c r="AJ24" i="12"/>
  <c r="AJ25" i="12"/>
  <c r="AJ26" i="12"/>
  <c r="AJ27" i="12"/>
  <c r="AJ28" i="12"/>
  <c r="AJ29" i="12"/>
  <c r="AJ30" i="12"/>
  <c r="AJ31" i="12"/>
  <c r="AJ32" i="12"/>
  <c r="AJ33" i="12"/>
  <c r="AJ34" i="12"/>
  <c r="AJ35" i="12"/>
  <c r="AJ36" i="12"/>
  <c r="AJ37" i="12"/>
  <c r="AJ38" i="12"/>
  <c r="AJ39" i="12"/>
  <c r="AJ40" i="12"/>
  <c r="AJ41" i="12"/>
  <c r="AJ42" i="12"/>
  <c r="AJ43" i="12"/>
  <c r="AJ44" i="12"/>
  <c r="AJ45" i="12"/>
  <c r="AJ46" i="12"/>
  <c r="AJ47" i="12"/>
  <c r="AJ48" i="12"/>
  <c r="AJ49" i="12"/>
  <c r="AJ50" i="12"/>
  <c r="AJ51" i="12"/>
  <c r="AJ52" i="12"/>
  <c r="AJ53" i="12"/>
  <c r="AJ54" i="12"/>
  <c r="AJ55" i="12"/>
  <c r="AJ56" i="12"/>
  <c r="AJ57" i="12"/>
  <c r="AJ58" i="12"/>
  <c r="AJ59" i="12"/>
  <c r="AJ60" i="12"/>
  <c r="AJ61" i="12"/>
  <c r="AJ62" i="12"/>
  <c r="AJ63" i="12"/>
  <c r="AJ64" i="12"/>
  <c r="AJ65" i="12"/>
  <c r="AJ66" i="12"/>
  <c r="AJ67" i="12"/>
  <c r="AJ68" i="12"/>
  <c r="AJ69" i="12"/>
  <c r="AJ70" i="12"/>
  <c r="AJ71" i="12"/>
  <c r="AJ72" i="12"/>
  <c r="AJ73" i="12"/>
  <c r="AJ74" i="12"/>
  <c r="AJ75" i="12"/>
  <c r="AJ76" i="12"/>
  <c r="AJ77" i="12"/>
  <c r="AJ78" i="12"/>
  <c r="AJ79" i="12"/>
  <c r="AJ80" i="12"/>
  <c r="AJ81" i="12"/>
  <c r="AJ82" i="12"/>
  <c r="AJ83" i="12"/>
  <c r="AJ84" i="12"/>
  <c r="AJ85" i="12"/>
  <c r="AJ86" i="12"/>
  <c r="AJ87" i="12"/>
  <c r="AJ88" i="12"/>
  <c r="AJ89" i="12"/>
  <c r="AJ90" i="12"/>
  <c r="AJ91" i="12"/>
  <c r="AJ92" i="12"/>
  <c r="AJ93" i="12"/>
  <c r="AJ94" i="12"/>
  <c r="AJ95" i="12"/>
  <c r="AJ96" i="12"/>
  <c r="AJ97" i="12"/>
  <c r="AJ98" i="12"/>
  <c r="AJ99" i="12"/>
  <c r="AJ100" i="12"/>
  <c r="AJ101" i="12"/>
  <c r="AJ102" i="12"/>
  <c r="AJ103" i="12"/>
  <c r="AJ104" i="12"/>
  <c r="AJ105" i="12"/>
  <c r="AJ106" i="12"/>
  <c r="AJ107" i="12"/>
  <c r="AJ108" i="12"/>
  <c r="AJ9" i="12"/>
  <c r="AC10" i="12"/>
  <c r="AC11" i="12"/>
  <c r="AC12" i="12"/>
  <c r="AC13" i="12"/>
  <c r="AC14" i="12"/>
  <c r="AC15" i="12"/>
  <c r="AC16" i="12"/>
  <c r="AC17" i="12"/>
  <c r="AC18" i="12"/>
  <c r="AC19" i="12"/>
  <c r="AC20" i="12"/>
  <c r="AC21" i="12"/>
  <c r="AC22" i="12"/>
  <c r="AC23" i="12"/>
  <c r="AC24" i="12"/>
  <c r="AC25" i="12"/>
  <c r="AC26" i="12"/>
  <c r="AC27" i="12"/>
  <c r="AC28" i="12"/>
  <c r="AC29" i="12"/>
  <c r="AC30" i="12"/>
  <c r="AC31" i="12"/>
  <c r="AC32" i="12"/>
  <c r="AC33" i="12"/>
  <c r="AC34" i="12"/>
  <c r="AC35" i="12"/>
  <c r="AC36" i="12"/>
  <c r="AC37" i="12"/>
  <c r="AC38" i="12"/>
  <c r="AC39" i="12"/>
  <c r="AC40" i="12"/>
  <c r="AC41" i="12"/>
  <c r="AC42" i="12"/>
  <c r="AC43" i="12"/>
  <c r="AC44" i="12"/>
  <c r="AC45" i="12"/>
  <c r="AC46" i="12"/>
  <c r="AC47" i="12"/>
  <c r="AC48" i="12"/>
  <c r="AC49" i="12"/>
  <c r="AC50" i="12"/>
  <c r="AC51" i="12"/>
  <c r="AC52" i="12"/>
  <c r="AC53" i="12"/>
  <c r="AC54" i="12"/>
  <c r="AC55" i="12"/>
  <c r="AC56" i="12"/>
  <c r="AC57" i="12"/>
  <c r="AC58" i="12"/>
  <c r="AC59" i="12"/>
  <c r="AC60" i="12"/>
  <c r="AC61" i="12"/>
  <c r="AC62" i="12"/>
  <c r="AC63" i="12"/>
  <c r="AC64" i="12"/>
  <c r="AC65" i="12"/>
  <c r="AC66" i="12"/>
  <c r="AC67" i="12"/>
  <c r="AC68" i="12"/>
  <c r="AC69" i="12"/>
  <c r="AC70" i="12"/>
  <c r="AC71" i="12"/>
  <c r="AC72" i="12"/>
  <c r="AC73" i="12"/>
  <c r="AC74" i="12"/>
  <c r="AC75" i="12"/>
  <c r="AC76" i="12"/>
  <c r="AC77" i="12"/>
  <c r="AC78" i="12"/>
  <c r="AC79" i="12"/>
  <c r="AC80" i="12"/>
  <c r="AC81" i="12"/>
  <c r="AC82" i="12"/>
  <c r="AC83" i="12"/>
  <c r="AC84" i="12"/>
  <c r="AC85" i="12"/>
  <c r="AC86" i="12"/>
  <c r="AC87" i="12"/>
  <c r="AC88" i="12"/>
  <c r="AC89" i="12"/>
  <c r="AC90" i="12"/>
  <c r="AC91" i="12"/>
  <c r="AC92" i="12"/>
  <c r="AC93" i="12"/>
  <c r="AC94" i="12"/>
  <c r="AC95" i="12"/>
  <c r="AC96" i="12"/>
  <c r="AC97" i="12"/>
  <c r="AC98" i="12"/>
  <c r="AC99" i="12"/>
  <c r="AC100" i="12"/>
  <c r="AC101" i="12"/>
  <c r="AC102" i="12"/>
  <c r="AC103" i="12"/>
  <c r="AC104" i="12"/>
  <c r="AC105" i="12"/>
  <c r="AC106" i="12"/>
  <c r="AC107" i="12"/>
  <c r="AC108" i="12"/>
  <c r="AC9" i="12"/>
  <c r="V10" i="12"/>
  <c r="V11" i="12"/>
  <c r="V12" i="12"/>
  <c r="V13" i="12"/>
  <c r="V14" i="12"/>
  <c r="V15" i="12"/>
  <c r="V16" i="12"/>
  <c r="V17" i="12"/>
  <c r="V18" i="12"/>
  <c r="V19" i="12"/>
  <c r="V20" i="12"/>
  <c r="V21" i="12"/>
  <c r="V22" i="12"/>
  <c r="V23" i="12"/>
  <c r="V24" i="12"/>
  <c r="V25" i="12"/>
  <c r="V26" i="12"/>
  <c r="V27" i="12"/>
  <c r="V28" i="12"/>
  <c r="V29" i="12"/>
  <c r="V30" i="12"/>
  <c r="V31" i="12"/>
  <c r="V32" i="12"/>
  <c r="V33" i="12"/>
  <c r="V34" i="12"/>
  <c r="V35" i="12"/>
  <c r="V36" i="12"/>
  <c r="V37" i="12"/>
  <c r="V38" i="12"/>
  <c r="V39" i="12"/>
  <c r="V40" i="12"/>
  <c r="V41" i="12"/>
  <c r="V42" i="12"/>
  <c r="V43" i="12"/>
  <c r="V44" i="12"/>
  <c r="V45" i="12"/>
  <c r="V46" i="12"/>
  <c r="V47" i="12"/>
  <c r="V48" i="12"/>
  <c r="V49" i="12"/>
  <c r="V50" i="12"/>
  <c r="V51" i="12"/>
  <c r="V52" i="12"/>
  <c r="V53" i="12"/>
  <c r="V54" i="12"/>
  <c r="V55" i="12"/>
  <c r="V56" i="12"/>
  <c r="V57" i="12"/>
  <c r="V58" i="12"/>
  <c r="V59" i="12"/>
  <c r="V60" i="12"/>
  <c r="V61" i="12"/>
  <c r="V62" i="12"/>
  <c r="V63" i="12"/>
  <c r="V64" i="12"/>
  <c r="V65" i="12"/>
  <c r="V66" i="12"/>
  <c r="V67" i="12"/>
  <c r="V68" i="12"/>
  <c r="V69" i="12"/>
  <c r="V70" i="12"/>
  <c r="V71" i="12"/>
  <c r="V72" i="12"/>
  <c r="V73" i="12"/>
  <c r="V74" i="12"/>
  <c r="V75" i="12"/>
  <c r="V76" i="12"/>
  <c r="V77" i="12"/>
  <c r="V78" i="12"/>
  <c r="V79" i="12"/>
  <c r="V80" i="12"/>
  <c r="V81" i="12"/>
  <c r="V82" i="12"/>
  <c r="V83" i="12"/>
  <c r="V84" i="12"/>
  <c r="V85" i="12"/>
  <c r="V86" i="12"/>
  <c r="V87" i="12"/>
  <c r="V88" i="12"/>
  <c r="V89" i="12"/>
  <c r="V90" i="12"/>
  <c r="V91" i="12"/>
  <c r="V92" i="12"/>
  <c r="V93" i="12"/>
  <c r="V94" i="12"/>
  <c r="V95" i="12"/>
  <c r="V96" i="12"/>
  <c r="V97" i="12"/>
  <c r="V98" i="12"/>
  <c r="V99" i="12"/>
  <c r="V100" i="12"/>
  <c r="V101" i="12"/>
  <c r="V102" i="12"/>
  <c r="V103" i="12"/>
  <c r="V104" i="12"/>
  <c r="V105" i="12"/>
  <c r="V106" i="12"/>
  <c r="V107" i="12"/>
  <c r="V108" i="12"/>
  <c r="V9" i="12"/>
  <c r="O10" i="12"/>
  <c r="O11" i="12"/>
  <c r="O12" i="12"/>
  <c r="O13" i="12"/>
  <c r="O14" i="12"/>
  <c r="O15" i="12"/>
  <c r="O16" i="12"/>
  <c r="O17" i="12"/>
  <c r="O18" i="12"/>
  <c r="O19" i="12"/>
  <c r="O20" i="12"/>
  <c r="O21" i="12"/>
  <c r="O22" i="12"/>
  <c r="O23" i="12"/>
  <c r="O24" i="12"/>
  <c r="O25" i="12"/>
  <c r="O26" i="12"/>
  <c r="O27" i="12"/>
  <c r="O28" i="12"/>
  <c r="O29" i="12"/>
  <c r="O30" i="12"/>
  <c r="O31" i="12"/>
  <c r="O32" i="12"/>
  <c r="O33" i="12"/>
  <c r="O34" i="12"/>
  <c r="O35" i="12"/>
  <c r="O36" i="12"/>
  <c r="O37" i="12"/>
  <c r="O38" i="12"/>
  <c r="O39" i="12"/>
  <c r="O40" i="12"/>
  <c r="O41" i="12"/>
  <c r="O42" i="12"/>
  <c r="O43" i="12"/>
  <c r="O44" i="12"/>
  <c r="O45" i="12"/>
  <c r="O46" i="12"/>
  <c r="O47" i="12"/>
  <c r="O48" i="12"/>
  <c r="O49" i="12"/>
  <c r="O50" i="12"/>
  <c r="O51" i="12"/>
  <c r="O52" i="12"/>
  <c r="O53" i="12"/>
  <c r="O54" i="12"/>
  <c r="O55" i="12"/>
  <c r="O56" i="12"/>
  <c r="O57" i="12"/>
  <c r="O58" i="12"/>
  <c r="O59" i="12"/>
  <c r="O60" i="12"/>
  <c r="O61" i="12"/>
  <c r="O62" i="12"/>
  <c r="O63" i="12"/>
  <c r="O64" i="12"/>
  <c r="O65" i="12"/>
  <c r="O66" i="12"/>
  <c r="O67" i="12"/>
  <c r="O68" i="12"/>
  <c r="O69" i="12"/>
  <c r="O70" i="12"/>
  <c r="O71" i="12"/>
  <c r="O72" i="12"/>
  <c r="O73" i="12"/>
  <c r="O74" i="12"/>
  <c r="O75" i="12"/>
  <c r="O76" i="12"/>
  <c r="O77" i="12"/>
  <c r="O78" i="12"/>
  <c r="O79" i="12"/>
  <c r="O80" i="12"/>
  <c r="O81" i="12"/>
  <c r="O82" i="12"/>
  <c r="O83" i="12"/>
  <c r="O84" i="12"/>
  <c r="O85" i="12"/>
  <c r="O86" i="12"/>
  <c r="O87" i="12"/>
  <c r="O88" i="12"/>
  <c r="O89" i="12"/>
  <c r="O90" i="12"/>
  <c r="O91" i="12"/>
  <c r="O92" i="12"/>
  <c r="O93" i="12"/>
  <c r="O94" i="12"/>
  <c r="O95" i="12"/>
  <c r="O96" i="12"/>
  <c r="O97" i="12"/>
  <c r="O98" i="12"/>
  <c r="O99" i="12"/>
  <c r="O100" i="12"/>
  <c r="O101" i="12"/>
  <c r="O102" i="12"/>
  <c r="O103" i="12"/>
  <c r="O104" i="12"/>
  <c r="O105" i="12"/>
  <c r="O106" i="12"/>
  <c r="O107" i="12"/>
  <c r="O108" i="12"/>
  <c r="O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J101" i="12"/>
  <c r="J102" i="12"/>
  <c r="J103" i="12"/>
  <c r="J104" i="12"/>
  <c r="J105" i="12"/>
  <c r="J106" i="12"/>
  <c r="J107" i="12"/>
  <c r="J108" i="12"/>
  <c r="J9" i="12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9" i="4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8" i="3"/>
  <c r="U8" i="3" s="1"/>
  <c r="Q10" i="11"/>
  <c r="Q11" i="11"/>
  <c r="Q12" i="11"/>
  <c r="Q13" i="11"/>
  <c r="Q14" i="11"/>
  <c r="Q15" i="11"/>
  <c r="Q16" i="11"/>
  <c r="Q17" i="11"/>
  <c r="Q18" i="11"/>
  <c r="Q19" i="11"/>
  <c r="Q20" i="11"/>
  <c r="Q21" i="11"/>
  <c r="Q22" i="11"/>
  <c r="Q23" i="11"/>
  <c r="Q24" i="11"/>
  <c r="Q25" i="11"/>
  <c r="Q26" i="11"/>
  <c r="Q27" i="11"/>
  <c r="Q28" i="11"/>
  <c r="Q29" i="11"/>
  <c r="Q30" i="11"/>
  <c r="Q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9" i="1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10" i="1"/>
  <c r="J31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10" i="1"/>
  <c r="V27" i="11" l="1"/>
  <c r="AA27" i="11" s="1"/>
  <c r="U27" i="11"/>
  <c r="Z27" i="11" s="1"/>
  <c r="T27" i="11"/>
  <c r="Y27" i="11" s="1"/>
  <c r="S27" i="11"/>
  <c r="X27" i="11" s="1"/>
  <c r="R27" i="11"/>
  <c r="W27" i="11" s="1"/>
  <c r="V29" i="1"/>
  <c r="AA29" i="1" s="1"/>
  <c r="U29" i="1"/>
  <c r="Z29" i="1" s="1"/>
  <c r="T29" i="1"/>
  <c r="Y29" i="1" s="1"/>
  <c r="S29" i="1"/>
  <c r="X29" i="1" s="1"/>
  <c r="R29" i="1"/>
  <c r="W29" i="1" s="1"/>
  <c r="AL36" i="9" l="1"/>
  <c r="AL49" i="9"/>
  <c r="AL37" i="9"/>
  <c r="AL45" i="9"/>
  <c r="AL46" i="9"/>
  <c r="AL86" i="9"/>
  <c r="AL82" i="9"/>
  <c r="AL78" i="9"/>
  <c r="AL98" i="9"/>
  <c r="AL103" i="9"/>
  <c r="AL126" i="9"/>
  <c r="AL122" i="9"/>
  <c r="AL118" i="9"/>
  <c r="AL114" i="9"/>
  <c r="AL135" i="9"/>
  <c r="AL139" i="9"/>
  <c r="AL70" i="9"/>
  <c r="AL54" i="9"/>
  <c r="AL85" i="9"/>
  <c r="AL81" i="9"/>
  <c r="AL77" i="9"/>
  <c r="AL113" i="9"/>
  <c r="AL125" i="9"/>
  <c r="AL121" i="9"/>
  <c r="AL117" i="9"/>
  <c r="AL28" i="9"/>
  <c r="AL24" i="9"/>
  <c r="AL61" i="9"/>
  <c r="AL94" i="9"/>
  <c r="AL31" i="9"/>
  <c r="AL23" i="9"/>
  <c r="AL42" i="9"/>
  <c r="AL56" i="9"/>
  <c r="AL69" i="9"/>
  <c r="AL100" i="9"/>
  <c r="AL9" i="9"/>
  <c r="AL19" i="9"/>
  <c r="AL30" i="9"/>
  <c r="AL26" i="9"/>
  <c r="AL22" i="9"/>
  <c r="AL39" i="9"/>
  <c r="AL48" i="9"/>
  <c r="AL63" i="9"/>
  <c r="AL59" i="9"/>
  <c r="AL55" i="9"/>
  <c r="AL72" i="9"/>
  <c r="AL88" i="9"/>
  <c r="AL84" i="9"/>
  <c r="AL80" i="9"/>
  <c r="AL92" i="9"/>
  <c r="AL99" i="9"/>
  <c r="AL128" i="9"/>
  <c r="AL124" i="9"/>
  <c r="AL120" i="9"/>
  <c r="AL116" i="9"/>
  <c r="AL133" i="9"/>
  <c r="AL137" i="9"/>
  <c r="AL32" i="9"/>
  <c r="AL20" i="9"/>
  <c r="AL43" i="9"/>
  <c r="AL57" i="9"/>
  <c r="AL27" i="9"/>
  <c r="AL60" i="9"/>
  <c r="AL68" i="9"/>
  <c r="AL76" i="9"/>
  <c r="AL93" i="9"/>
  <c r="AL132" i="9"/>
  <c r="AL136" i="9"/>
  <c r="AL10" i="9"/>
  <c r="AL33" i="9"/>
  <c r="AL29" i="9"/>
  <c r="AL25" i="9"/>
  <c r="AL21" i="9"/>
  <c r="AL38" i="9"/>
  <c r="AL41" i="9"/>
  <c r="AL47" i="9"/>
  <c r="AL62" i="9"/>
  <c r="AL58" i="9"/>
  <c r="AL71" i="9"/>
  <c r="AL87" i="9"/>
  <c r="AL83" i="9"/>
  <c r="AL79" i="9"/>
  <c r="AL95" i="9"/>
  <c r="AL102" i="9"/>
  <c r="AL127" i="9"/>
  <c r="AL123" i="9"/>
  <c r="AL119" i="9"/>
  <c r="AL115" i="9"/>
  <c r="AL134" i="9"/>
  <c r="AL138" i="9"/>
  <c r="AL89" i="9" l="1"/>
  <c r="J140" i="9" l="1"/>
  <c r="L140" i="9" s="1"/>
  <c r="M140" i="9" s="1"/>
  <c r="J141" i="9"/>
  <c r="L141" i="9" s="1"/>
  <c r="M141" i="9" s="1"/>
  <c r="J142" i="9"/>
  <c r="L142" i="9" s="1"/>
  <c r="M142" i="9" s="1"/>
  <c r="J143" i="9"/>
  <c r="L143" i="9" s="1"/>
  <c r="M143" i="9" s="1"/>
  <c r="J144" i="9"/>
  <c r="L144" i="9" s="1"/>
  <c r="M144" i="9" s="1"/>
  <c r="J145" i="9"/>
  <c r="L145" i="9" s="1"/>
  <c r="M145" i="9" s="1"/>
  <c r="J146" i="9"/>
  <c r="L146" i="9" s="1"/>
  <c r="M146" i="9" s="1"/>
  <c r="J110" i="9"/>
  <c r="L110" i="9" s="1"/>
  <c r="M110" i="9" s="1"/>
  <c r="J111" i="9"/>
  <c r="L111" i="9" s="1"/>
  <c r="M111" i="9" s="1"/>
  <c r="J109" i="9"/>
  <c r="L109" i="9" s="1"/>
  <c r="M109" i="9" s="1"/>
  <c r="J104" i="9"/>
  <c r="L104" i="9" s="1"/>
  <c r="M104" i="9" s="1"/>
  <c r="J105" i="9"/>
  <c r="L105" i="9" s="1"/>
  <c r="M105" i="9" s="1"/>
  <c r="J106" i="9"/>
  <c r="L106" i="9" s="1"/>
  <c r="M106" i="9" s="1"/>
  <c r="J107" i="9"/>
  <c r="L107" i="9" s="1"/>
  <c r="M107" i="9" s="1"/>
  <c r="J96" i="9"/>
  <c r="L96" i="9" s="1"/>
  <c r="M96" i="9" s="1"/>
  <c r="J97" i="9"/>
  <c r="L97" i="9" s="1"/>
  <c r="M97" i="9" s="1"/>
  <c r="J90" i="9"/>
  <c r="L90" i="9" s="1"/>
  <c r="M90" i="9" s="1"/>
  <c r="J73" i="9"/>
  <c r="L73" i="9" s="1"/>
  <c r="M73" i="9" s="1"/>
  <c r="J74" i="9"/>
  <c r="L74" i="9" s="1"/>
  <c r="M74" i="9" s="1"/>
  <c r="J75" i="9"/>
  <c r="L75" i="9" s="1"/>
  <c r="M75" i="9" s="1"/>
  <c r="J64" i="9"/>
  <c r="L64" i="9" s="1"/>
  <c r="M64" i="9" s="1"/>
  <c r="J65" i="9"/>
  <c r="L65" i="9" s="1"/>
  <c r="M65" i="9" s="1"/>
  <c r="J66" i="9"/>
  <c r="L66" i="9" s="1"/>
  <c r="M66" i="9" s="1"/>
  <c r="J67" i="9"/>
  <c r="L67" i="9" s="1"/>
  <c r="M67" i="9" s="1"/>
  <c r="J53" i="9"/>
  <c r="L53" i="9" s="1"/>
  <c r="M53" i="9" s="1"/>
  <c r="J51" i="9"/>
  <c r="J34" i="9"/>
  <c r="L34" i="9" s="1"/>
  <c r="M34" i="9" s="1"/>
  <c r="J35" i="9"/>
  <c r="L35" i="9" s="1"/>
  <c r="M35" i="9" s="1"/>
  <c r="J11" i="9"/>
  <c r="L11" i="9" s="1"/>
  <c r="M11" i="9" s="1"/>
  <c r="J12" i="9"/>
  <c r="L12" i="9" s="1"/>
  <c r="M12" i="9" s="1"/>
  <c r="J13" i="9"/>
  <c r="L13" i="9" s="1"/>
  <c r="M13" i="9" s="1"/>
  <c r="J14" i="9"/>
  <c r="L14" i="9" s="1"/>
  <c r="M14" i="9" s="1"/>
  <c r="J15" i="9"/>
  <c r="L15" i="9" s="1"/>
  <c r="M15" i="9" s="1"/>
  <c r="J16" i="9"/>
  <c r="L16" i="9" s="1"/>
  <c r="M16" i="9" s="1"/>
  <c r="J17" i="9"/>
  <c r="L17" i="9" s="1"/>
  <c r="M17" i="9" s="1"/>
  <c r="J18" i="9"/>
  <c r="L18" i="9" s="1"/>
  <c r="M18" i="9" s="1"/>
  <c r="Y8" i="3" l="1"/>
  <c r="X29" i="3"/>
  <c r="V28" i="3"/>
  <c r="U28" i="3"/>
  <c r="X26" i="3"/>
  <c r="W26" i="3"/>
  <c r="U25" i="3"/>
  <c r="W23" i="3"/>
  <c r="V23" i="3"/>
  <c r="X21" i="3"/>
  <c r="V20" i="3"/>
  <c r="U20" i="3"/>
  <c r="X18" i="3"/>
  <c r="W18" i="3"/>
  <c r="U17" i="3"/>
  <c r="W15" i="3"/>
  <c r="V15" i="3"/>
  <c r="X13" i="3"/>
  <c r="V12" i="3"/>
  <c r="U12" i="3"/>
  <c r="X10" i="3"/>
  <c r="W10" i="3"/>
  <c r="U9" i="3"/>
  <c r="X9" i="3" l="1"/>
  <c r="V11" i="3"/>
  <c r="W14" i="3"/>
  <c r="U16" i="3"/>
  <c r="X17" i="3"/>
  <c r="V19" i="3"/>
  <c r="W22" i="3"/>
  <c r="U24" i="3"/>
  <c r="X25" i="3"/>
  <c r="V27" i="3"/>
  <c r="V8" i="3"/>
  <c r="U13" i="3"/>
  <c r="X14" i="3"/>
  <c r="W19" i="3"/>
  <c r="U21" i="3"/>
  <c r="X22" i="3"/>
  <c r="V24" i="3"/>
  <c r="W27" i="3"/>
  <c r="U29" i="3"/>
  <c r="W11" i="3"/>
  <c r="V16" i="3"/>
  <c r="X8" i="3"/>
  <c r="W9" i="3"/>
  <c r="V10" i="3"/>
  <c r="U11" i="3"/>
  <c r="X12" i="3"/>
  <c r="W13" i="3"/>
  <c r="V14" i="3"/>
  <c r="U15" i="3"/>
  <c r="X16" i="3"/>
  <c r="W17" i="3"/>
  <c r="V18" i="3"/>
  <c r="U19" i="3"/>
  <c r="X20" i="3"/>
  <c r="W21" i="3"/>
  <c r="V22" i="3"/>
  <c r="U23" i="3"/>
  <c r="X24" i="3"/>
  <c r="W25" i="3"/>
  <c r="V26" i="3"/>
  <c r="U27" i="3"/>
  <c r="X28" i="3"/>
  <c r="W8" i="3"/>
  <c r="V9" i="3"/>
  <c r="U10" i="3"/>
  <c r="X11" i="3"/>
  <c r="W12" i="3"/>
  <c r="V13" i="3"/>
  <c r="X15" i="3"/>
  <c r="W16" i="3"/>
  <c r="V17" i="3"/>
  <c r="U18" i="3"/>
  <c r="X19" i="3"/>
  <c r="W20" i="3"/>
  <c r="V21" i="3"/>
  <c r="U22" i="3"/>
  <c r="X23" i="3"/>
  <c r="W24" i="3"/>
  <c r="V25" i="3"/>
  <c r="U26" i="3"/>
  <c r="X27" i="3"/>
  <c r="W28" i="3"/>
  <c r="V29" i="3"/>
  <c r="W29" i="3"/>
  <c r="U14" i="3"/>
  <c r="X89" i="9" l="1"/>
  <c r="Z89" i="9" s="1"/>
  <c r="AA89" i="9" s="1"/>
  <c r="X10" i="9" l="1"/>
  <c r="Z10" i="9" s="1"/>
  <c r="AA10" i="9" s="1"/>
  <c r="X19" i="9"/>
  <c r="Z19" i="9" s="1"/>
  <c r="AA19" i="9" s="1"/>
  <c r="X20" i="9"/>
  <c r="Z20" i="9" s="1"/>
  <c r="AA20" i="9" s="1"/>
  <c r="X21" i="9"/>
  <c r="Z21" i="9" s="1"/>
  <c r="AA21" i="9" s="1"/>
  <c r="X22" i="9"/>
  <c r="Z22" i="9" s="1"/>
  <c r="AA22" i="9" s="1"/>
  <c r="X23" i="9"/>
  <c r="Z23" i="9" s="1"/>
  <c r="AA23" i="9" s="1"/>
  <c r="X24" i="9"/>
  <c r="Z24" i="9" s="1"/>
  <c r="AA24" i="9" s="1"/>
  <c r="X25" i="9"/>
  <c r="Z25" i="9" s="1"/>
  <c r="AA25" i="9" s="1"/>
  <c r="X26" i="9"/>
  <c r="Z26" i="9" s="1"/>
  <c r="AA26" i="9" s="1"/>
  <c r="X27" i="9"/>
  <c r="Z27" i="9" s="1"/>
  <c r="AA27" i="9" s="1"/>
  <c r="X28" i="9"/>
  <c r="Z28" i="9" s="1"/>
  <c r="AA28" i="9" s="1"/>
  <c r="X29" i="9"/>
  <c r="Z29" i="9" s="1"/>
  <c r="AA29" i="9" s="1"/>
  <c r="X30" i="9"/>
  <c r="Z30" i="9" s="1"/>
  <c r="AA30" i="9" s="1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8" i="3"/>
  <c r="X10" i="4"/>
  <c r="X11" i="4"/>
  <c r="X12" i="4"/>
  <c r="X13" i="4"/>
  <c r="X14" i="4"/>
  <c r="X15" i="4"/>
  <c r="X16" i="4"/>
  <c r="X17" i="4"/>
  <c r="X18" i="4"/>
  <c r="X19" i="4"/>
  <c r="X20" i="4"/>
  <c r="X21" i="4"/>
  <c r="X22" i="4"/>
  <c r="X23" i="4"/>
  <c r="X24" i="4"/>
  <c r="X25" i="4"/>
  <c r="X26" i="4"/>
  <c r="X27" i="4"/>
  <c r="X28" i="4"/>
  <c r="X29" i="4"/>
  <c r="X30" i="4"/>
  <c r="X9" i="4"/>
  <c r="W10" i="4"/>
  <c r="W11" i="4"/>
  <c r="W12" i="4"/>
  <c r="W13" i="4"/>
  <c r="W14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9" i="4"/>
  <c r="V10" i="4"/>
  <c r="V11" i="4"/>
  <c r="V12" i="4"/>
  <c r="V13" i="4"/>
  <c r="V14" i="4"/>
  <c r="V15" i="4"/>
  <c r="V16" i="4"/>
  <c r="V17" i="4"/>
  <c r="V18" i="4"/>
  <c r="V19" i="4"/>
  <c r="V20" i="4"/>
  <c r="V21" i="4"/>
  <c r="V22" i="4"/>
  <c r="V23" i="4"/>
  <c r="V24" i="4"/>
  <c r="V25" i="4"/>
  <c r="V26" i="4"/>
  <c r="V27" i="4"/>
  <c r="V28" i="4"/>
  <c r="V29" i="4"/>
  <c r="V30" i="4"/>
  <c r="V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B10" i="4"/>
  <c r="AB11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Z10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Y10" i="4"/>
  <c r="Y11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29" i="4"/>
  <c r="Y30" i="4"/>
  <c r="Z9" i="4"/>
  <c r="AA9" i="4"/>
  <c r="AB9" i="4"/>
  <c r="AC9" i="4"/>
  <c r="AD22" i="4" l="1"/>
  <c r="AD13" i="4"/>
  <c r="AD28" i="4"/>
  <c r="AD24" i="4"/>
  <c r="AD20" i="4"/>
  <c r="AD16" i="4"/>
  <c r="AG11" i="4"/>
  <c r="AD27" i="4"/>
  <c r="AD23" i="4"/>
  <c r="AD19" i="4"/>
  <c r="AD15" i="4"/>
  <c r="AD11" i="4"/>
  <c r="AD14" i="4"/>
  <c r="AD26" i="4"/>
  <c r="AD10" i="4"/>
  <c r="AD29" i="4"/>
  <c r="AD12" i="4"/>
  <c r="AD30" i="4"/>
  <c r="AD25" i="4"/>
  <c r="AD21" i="4"/>
  <c r="AD18" i="4"/>
  <c r="AD17" i="4"/>
  <c r="X9" i="9"/>
  <c r="AE10" i="9"/>
  <c r="AE19" i="9"/>
  <c r="AE20" i="9"/>
  <c r="AE21" i="9"/>
  <c r="AE22" i="9"/>
  <c r="AE23" i="9"/>
  <c r="AE24" i="9"/>
  <c r="AE25" i="9"/>
  <c r="AE26" i="9"/>
  <c r="AE27" i="9"/>
  <c r="AE28" i="9"/>
  <c r="AE29" i="9"/>
  <c r="AE9" i="9"/>
  <c r="U9" i="12" l="1"/>
  <c r="U21" i="12"/>
  <c r="U17" i="12"/>
  <c r="U13" i="12"/>
  <c r="AI21" i="12"/>
  <c r="AI13" i="12"/>
  <c r="U20" i="12"/>
  <c r="U16" i="12"/>
  <c r="U12" i="12"/>
  <c r="AI16" i="12"/>
  <c r="U19" i="12"/>
  <c r="U15" i="12"/>
  <c r="U11" i="12"/>
  <c r="AI19" i="12"/>
  <c r="AI15" i="12"/>
  <c r="AI11" i="12"/>
  <c r="U18" i="12"/>
  <c r="U14" i="12"/>
  <c r="U10" i="12"/>
  <c r="AI18" i="12"/>
  <c r="AI14" i="12"/>
  <c r="AI10" i="12"/>
  <c r="AB9" i="12"/>
  <c r="AB21" i="12"/>
  <c r="AB17" i="12"/>
  <c r="AB13" i="12"/>
  <c r="AI9" i="12"/>
  <c r="AB20" i="12"/>
  <c r="AB16" i="12"/>
  <c r="AB12" i="12"/>
  <c r="AB19" i="12"/>
  <c r="AB15" i="12"/>
  <c r="AB11" i="12"/>
  <c r="AB18" i="12"/>
  <c r="AB14" i="12"/>
  <c r="AB10" i="12"/>
  <c r="AI17" i="12"/>
  <c r="AI20" i="12"/>
  <c r="AI12" i="12"/>
  <c r="J91" i="9"/>
  <c r="J108" i="9"/>
  <c r="J112" i="9"/>
  <c r="J129" i="9"/>
  <c r="J130" i="9"/>
  <c r="J131" i="9"/>
  <c r="L91" i="9" l="1"/>
  <c r="M91" i="9" s="1"/>
  <c r="L131" i="9"/>
  <c r="M131" i="9" s="1"/>
  <c r="L129" i="9" l="1"/>
  <c r="M129" i="9" s="1"/>
  <c r="L44" i="9"/>
  <c r="M44" i="9" s="1"/>
  <c r="L108" i="9"/>
  <c r="M108" i="9" s="1"/>
  <c r="L130" i="9"/>
  <c r="M130" i="9" s="1"/>
  <c r="L112" i="9"/>
  <c r="M112" i="9" s="1"/>
  <c r="P72" i="6"/>
  <c r="P71" i="6"/>
  <c r="P70" i="6"/>
  <c r="P69" i="6"/>
  <c r="P68" i="6"/>
  <c r="P67" i="6"/>
  <c r="P66" i="6"/>
  <c r="P65" i="6"/>
  <c r="P64" i="6"/>
  <c r="P63" i="6"/>
  <c r="P62" i="6"/>
  <c r="P61" i="6"/>
  <c r="P60" i="6"/>
  <c r="P59" i="6"/>
  <c r="P58" i="6"/>
  <c r="P57" i="6"/>
  <c r="P56" i="6"/>
  <c r="P55" i="6"/>
  <c r="P54" i="6"/>
  <c r="P53" i="6"/>
  <c r="P52" i="6"/>
  <c r="P51" i="6"/>
  <c r="P50" i="6"/>
  <c r="P49" i="6"/>
  <c r="P48" i="6"/>
  <c r="P47" i="6"/>
  <c r="P46" i="6"/>
  <c r="P45" i="6"/>
  <c r="P44" i="6"/>
  <c r="P43" i="6"/>
  <c r="P42" i="6"/>
  <c r="P41" i="6"/>
  <c r="P40" i="6"/>
  <c r="P39" i="6"/>
  <c r="P38" i="6"/>
  <c r="P37" i="6"/>
  <c r="P36" i="6"/>
  <c r="P35" i="6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7" i="6"/>
  <c r="P18" i="6"/>
  <c r="P16" i="6"/>
  <c r="P15" i="6"/>
  <c r="P14" i="6"/>
  <c r="P13" i="6"/>
  <c r="P12" i="6"/>
  <c r="P11" i="6"/>
  <c r="P9" i="6"/>
  <c r="P8" i="6"/>
  <c r="P10" i="6"/>
  <c r="P7" i="6"/>
  <c r="Q8" i="6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64" i="6"/>
  <c r="Q65" i="6"/>
  <c r="Q66" i="6"/>
  <c r="Q67" i="6"/>
  <c r="Q68" i="6"/>
  <c r="Q69" i="6"/>
  <c r="Q70" i="6"/>
  <c r="Q71" i="6"/>
  <c r="Q72" i="6"/>
  <c r="Q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4" i="6"/>
  <c r="R65" i="6"/>
  <c r="R66" i="6"/>
  <c r="R67" i="6"/>
  <c r="R68" i="6"/>
  <c r="R69" i="6"/>
  <c r="R70" i="6"/>
  <c r="R71" i="6"/>
  <c r="R72" i="6"/>
  <c r="R7" i="6"/>
  <c r="S8" i="6"/>
  <c r="S9" i="6"/>
  <c r="S10" i="6"/>
  <c r="S11" i="6"/>
  <c r="S12" i="6"/>
  <c r="S13" i="6"/>
  <c r="S14" i="6"/>
  <c r="S15" i="6"/>
  <c r="S16" i="6"/>
  <c r="S17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36" i="6"/>
  <c r="S37" i="6"/>
  <c r="S38" i="6"/>
  <c r="S39" i="6"/>
  <c r="S40" i="6"/>
  <c r="S41" i="6"/>
  <c r="S42" i="6"/>
  <c r="S43" i="6"/>
  <c r="S44" i="6"/>
  <c r="S45" i="6"/>
  <c r="S46" i="6"/>
  <c r="S47" i="6"/>
  <c r="S48" i="6"/>
  <c r="S49" i="6"/>
  <c r="S50" i="6"/>
  <c r="S51" i="6"/>
  <c r="S52" i="6"/>
  <c r="S53" i="6"/>
  <c r="S54" i="6"/>
  <c r="S55" i="6"/>
  <c r="S56" i="6"/>
  <c r="S57" i="6"/>
  <c r="S58" i="6"/>
  <c r="S59" i="6"/>
  <c r="S60" i="6"/>
  <c r="S61" i="6"/>
  <c r="S62" i="6"/>
  <c r="S63" i="6"/>
  <c r="S64" i="6"/>
  <c r="S65" i="6"/>
  <c r="S66" i="6"/>
  <c r="S67" i="6"/>
  <c r="S68" i="6"/>
  <c r="S69" i="6"/>
  <c r="S70" i="6"/>
  <c r="S71" i="6"/>
  <c r="S72" i="6"/>
  <c r="S7" i="6"/>
  <c r="T8" i="6"/>
  <c r="T9" i="6"/>
  <c r="T10" i="6"/>
  <c r="T11" i="6"/>
  <c r="T12" i="6"/>
  <c r="T13" i="6"/>
  <c r="T14" i="6"/>
  <c r="T15" i="6"/>
  <c r="T16" i="6"/>
  <c r="T17" i="6"/>
  <c r="T18" i="6"/>
  <c r="T19" i="6"/>
  <c r="T20" i="6"/>
  <c r="T21" i="6"/>
  <c r="T22" i="6"/>
  <c r="T23" i="6"/>
  <c r="T24" i="6"/>
  <c r="T25" i="6"/>
  <c r="T26" i="6"/>
  <c r="T27" i="6"/>
  <c r="T28" i="6"/>
  <c r="T29" i="6"/>
  <c r="T30" i="6"/>
  <c r="T31" i="6"/>
  <c r="T32" i="6"/>
  <c r="T33" i="6"/>
  <c r="T34" i="6"/>
  <c r="T35" i="6"/>
  <c r="T36" i="6"/>
  <c r="T37" i="6"/>
  <c r="T38" i="6"/>
  <c r="T39" i="6"/>
  <c r="T40" i="6"/>
  <c r="T41" i="6"/>
  <c r="T42" i="6"/>
  <c r="T43" i="6"/>
  <c r="T44" i="6"/>
  <c r="T45" i="6"/>
  <c r="T46" i="6"/>
  <c r="T47" i="6"/>
  <c r="T48" i="6"/>
  <c r="T49" i="6"/>
  <c r="T50" i="6"/>
  <c r="T51" i="6"/>
  <c r="T52" i="6"/>
  <c r="T53" i="6"/>
  <c r="T54" i="6"/>
  <c r="T55" i="6"/>
  <c r="T56" i="6"/>
  <c r="T57" i="6"/>
  <c r="T58" i="6"/>
  <c r="T59" i="6"/>
  <c r="T60" i="6"/>
  <c r="T61" i="6"/>
  <c r="T62" i="6"/>
  <c r="T63" i="6"/>
  <c r="T64" i="6"/>
  <c r="T65" i="6"/>
  <c r="T66" i="6"/>
  <c r="T67" i="6"/>
  <c r="T68" i="6"/>
  <c r="T69" i="6"/>
  <c r="T70" i="6"/>
  <c r="T71" i="6"/>
  <c r="T72" i="6"/>
  <c r="T7" i="6"/>
  <c r="U11" i="6"/>
  <c r="U12" i="6"/>
  <c r="U13" i="6"/>
  <c r="U14" i="6"/>
  <c r="U15" i="6"/>
  <c r="U16" i="6"/>
  <c r="U17" i="6"/>
  <c r="U18" i="6"/>
  <c r="U19" i="6"/>
  <c r="U20" i="6"/>
  <c r="U21" i="6"/>
  <c r="U22" i="6"/>
  <c r="U23" i="6"/>
  <c r="U24" i="6"/>
  <c r="U25" i="6"/>
  <c r="U26" i="6"/>
  <c r="U27" i="6"/>
  <c r="U28" i="6"/>
  <c r="U29" i="6"/>
  <c r="U30" i="6"/>
  <c r="U31" i="6"/>
  <c r="U32" i="6"/>
  <c r="U33" i="6"/>
  <c r="U34" i="6"/>
  <c r="U35" i="6"/>
  <c r="U36" i="6"/>
  <c r="U37" i="6"/>
  <c r="U38" i="6"/>
  <c r="U39" i="6"/>
  <c r="U40" i="6"/>
  <c r="U41" i="6"/>
  <c r="U42" i="6"/>
  <c r="U43" i="6"/>
  <c r="U44" i="6"/>
  <c r="U45" i="6"/>
  <c r="U46" i="6"/>
  <c r="U47" i="6"/>
  <c r="U48" i="6"/>
  <c r="U49" i="6"/>
  <c r="U50" i="6"/>
  <c r="U51" i="6"/>
  <c r="U52" i="6"/>
  <c r="U53" i="6"/>
  <c r="U54" i="6"/>
  <c r="U55" i="6"/>
  <c r="U56" i="6"/>
  <c r="U57" i="6"/>
  <c r="U58" i="6"/>
  <c r="U59" i="6"/>
  <c r="U60" i="6"/>
  <c r="U61" i="6"/>
  <c r="U62" i="6"/>
  <c r="U63" i="6"/>
  <c r="U64" i="6"/>
  <c r="U65" i="6"/>
  <c r="U66" i="6"/>
  <c r="U67" i="6"/>
  <c r="U68" i="6"/>
  <c r="U69" i="6"/>
  <c r="U70" i="6"/>
  <c r="U71" i="6"/>
  <c r="U72" i="6"/>
  <c r="U10" i="6"/>
  <c r="U8" i="6"/>
  <c r="U9" i="6"/>
  <c r="U7" i="6"/>
  <c r="Z8" i="3"/>
  <c r="AE8" i="3" s="1"/>
  <c r="AA8" i="3"/>
  <c r="AF8" i="3" s="1"/>
  <c r="AB8" i="3"/>
  <c r="AG8" i="3" s="1"/>
  <c r="AC8" i="3"/>
  <c r="Z9" i="3"/>
  <c r="AA9" i="3"/>
  <c r="AB9" i="3"/>
  <c r="AC9" i="3"/>
  <c r="Z10" i="3"/>
  <c r="AA10" i="3"/>
  <c r="AB10" i="3"/>
  <c r="AC10" i="3"/>
  <c r="Z11" i="3"/>
  <c r="AA11" i="3"/>
  <c r="AB11" i="3"/>
  <c r="AC11" i="3"/>
  <c r="Z12" i="3"/>
  <c r="AA12" i="3"/>
  <c r="AB12" i="3"/>
  <c r="AC12" i="3"/>
  <c r="Z13" i="3"/>
  <c r="AA13" i="3"/>
  <c r="AB13" i="3"/>
  <c r="AC13" i="3"/>
  <c r="Z14" i="3"/>
  <c r="AA14" i="3"/>
  <c r="AB14" i="3"/>
  <c r="AC14" i="3"/>
  <c r="Z15" i="3"/>
  <c r="AA15" i="3"/>
  <c r="AB15" i="3"/>
  <c r="AC15" i="3"/>
  <c r="Z16" i="3"/>
  <c r="AA16" i="3"/>
  <c r="AB16" i="3"/>
  <c r="AC16" i="3"/>
  <c r="Z17" i="3"/>
  <c r="AA17" i="3"/>
  <c r="AB17" i="3"/>
  <c r="AC17" i="3"/>
  <c r="Z18" i="3"/>
  <c r="AA18" i="3"/>
  <c r="AB18" i="3"/>
  <c r="AC18" i="3"/>
  <c r="Z19" i="3"/>
  <c r="AA19" i="3"/>
  <c r="AB19" i="3"/>
  <c r="AC19" i="3"/>
  <c r="Z20" i="3"/>
  <c r="AA20" i="3"/>
  <c r="AB20" i="3"/>
  <c r="AC20" i="3"/>
  <c r="Z21" i="3"/>
  <c r="AA21" i="3"/>
  <c r="AB21" i="3"/>
  <c r="AC21" i="3"/>
  <c r="Z22" i="3"/>
  <c r="AA22" i="3"/>
  <c r="AB22" i="3"/>
  <c r="AC22" i="3"/>
  <c r="Z23" i="3"/>
  <c r="AA23" i="3"/>
  <c r="AB23" i="3"/>
  <c r="AC23" i="3"/>
  <c r="Z24" i="3"/>
  <c r="AA24" i="3"/>
  <c r="AB24" i="3"/>
  <c r="AC24" i="3"/>
  <c r="Z25" i="3"/>
  <c r="AA25" i="3"/>
  <c r="AB25" i="3"/>
  <c r="AC25" i="3"/>
  <c r="Z26" i="3"/>
  <c r="AA26" i="3"/>
  <c r="AB26" i="3"/>
  <c r="AC26" i="3"/>
  <c r="Z27" i="3"/>
  <c r="AA27" i="3"/>
  <c r="AB27" i="3"/>
  <c r="AC27" i="3"/>
  <c r="Z28" i="3"/>
  <c r="AA28" i="3"/>
  <c r="AB28" i="3"/>
  <c r="AC28" i="3"/>
  <c r="Z29" i="3"/>
  <c r="AA29" i="3"/>
  <c r="AB29" i="3"/>
  <c r="AC29" i="3"/>
  <c r="Y29" i="3"/>
  <c r="Y28" i="3"/>
  <c r="AD28" i="3" s="1"/>
  <c r="Y27" i="3"/>
  <c r="Y26" i="3"/>
  <c r="AD26" i="3" s="1"/>
  <c r="Y25" i="3"/>
  <c r="Y24" i="3"/>
  <c r="Y23" i="3"/>
  <c r="Y22" i="3"/>
  <c r="AD22" i="3" s="1"/>
  <c r="Y21" i="3"/>
  <c r="Y20" i="3"/>
  <c r="AD20" i="3" s="1"/>
  <c r="Y19" i="3"/>
  <c r="Y18" i="3"/>
  <c r="AD18" i="3" s="1"/>
  <c r="Y17" i="3"/>
  <c r="Y16" i="3"/>
  <c r="Y15" i="3"/>
  <c r="Y14" i="3"/>
  <c r="AD14" i="3" s="1"/>
  <c r="Y13" i="3"/>
  <c r="Y12" i="3"/>
  <c r="AD12" i="3" s="1"/>
  <c r="Y11" i="3"/>
  <c r="Y10" i="3"/>
  <c r="AD10" i="3" s="1"/>
  <c r="Y9" i="3"/>
  <c r="AD8" i="3"/>
  <c r="O20" i="11"/>
  <c r="O28" i="11"/>
  <c r="P30" i="11"/>
  <c r="O30" i="11"/>
  <c r="N30" i="11"/>
  <c r="M30" i="11"/>
  <c r="L30" i="11"/>
  <c r="P29" i="11"/>
  <c r="O29" i="11"/>
  <c r="N29" i="11"/>
  <c r="M29" i="11"/>
  <c r="L29" i="11"/>
  <c r="P28" i="11"/>
  <c r="N28" i="11"/>
  <c r="M28" i="11"/>
  <c r="L28" i="11"/>
  <c r="P26" i="11"/>
  <c r="O26" i="11"/>
  <c r="N26" i="11"/>
  <c r="M26" i="11"/>
  <c r="L26" i="11"/>
  <c r="P25" i="11"/>
  <c r="O25" i="11"/>
  <c r="N25" i="11"/>
  <c r="M25" i="11"/>
  <c r="L25" i="11"/>
  <c r="P24" i="11"/>
  <c r="O24" i="11"/>
  <c r="N24" i="11"/>
  <c r="M24" i="11"/>
  <c r="L24" i="11"/>
  <c r="P23" i="11"/>
  <c r="O23" i="11"/>
  <c r="N23" i="11"/>
  <c r="M23" i="11"/>
  <c r="L23" i="11"/>
  <c r="P22" i="11"/>
  <c r="O22" i="11"/>
  <c r="N22" i="11"/>
  <c r="M22" i="11"/>
  <c r="L22" i="11"/>
  <c r="P21" i="11"/>
  <c r="O21" i="11"/>
  <c r="N21" i="11"/>
  <c r="M21" i="11"/>
  <c r="L21" i="11"/>
  <c r="P20" i="11"/>
  <c r="N20" i="11"/>
  <c r="M20" i="11"/>
  <c r="L20" i="11"/>
  <c r="P19" i="11"/>
  <c r="O19" i="11"/>
  <c r="N19" i="11"/>
  <c r="M19" i="11"/>
  <c r="L19" i="11"/>
  <c r="P18" i="11"/>
  <c r="O18" i="11"/>
  <c r="N18" i="11"/>
  <c r="M18" i="11"/>
  <c r="L18" i="11"/>
  <c r="P17" i="11"/>
  <c r="O17" i="11"/>
  <c r="N17" i="11"/>
  <c r="M17" i="11"/>
  <c r="L17" i="11"/>
  <c r="P16" i="11"/>
  <c r="O16" i="11"/>
  <c r="N16" i="11"/>
  <c r="M16" i="11"/>
  <c r="L16" i="11"/>
  <c r="P14" i="11"/>
  <c r="O14" i="11"/>
  <c r="N14" i="11"/>
  <c r="M14" i="11"/>
  <c r="L14" i="11"/>
  <c r="P13" i="11"/>
  <c r="O13" i="11"/>
  <c r="N13" i="11"/>
  <c r="M13" i="11"/>
  <c r="L13" i="11"/>
  <c r="P12" i="11"/>
  <c r="O12" i="11"/>
  <c r="N12" i="11"/>
  <c r="M12" i="11"/>
  <c r="L12" i="11"/>
  <c r="P11" i="11"/>
  <c r="O11" i="11"/>
  <c r="N11" i="11"/>
  <c r="M11" i="11"/>
  <c r="L11" i="11"/>
  <c r="P10" i="11"/>
  <c r="O10" i="11"/>
  <c r="N10" i="11"/>
  <c r="M10" i="11"/>
  <c r="L10" i="11"/>
  <c r="P9" i="11"/>
  <c r="O9" i="11"/>
  <c r="U9" i="11" s="1"/>
  <c r="Z9" i="11" s="1"/>
  <c r="N9" i="11"/>
  <c r="T9" i="11" s="1"/>
  <c r="Y9" i="11" s="1"/>
  <c r="M9" i="11"/>
  <c r="S9" i="11" s="1"/>
  <c r="X9" i="11" s="1"/>
  <c r="L9" i="11"/>
  <c r="R9" i="11" s="1"/>
  <c r="W9" i="11" s="1"/>
  <c r="N31" i="1"/>
  <c r="P31" i="1"/>
  <c r="L31" i="1"/>
  <c r="L30" i="1"/>
  <c r="L10" i="1"/>
  <c r="R10" i="1" s="1"/>
  <c r="W10" i="1" s="1"/>
  <c r="P21" i="1"/>
  <c r="M21" i="1"/>
  <c r="N21" i="1"/>
  <c r="L21" i="1"/>
  <c r="L12" i="1"/>
  <c r="L11" i="1"/>
  <c r="M11" i="1"/>
  <c r="N11" i="1"/>
  <c r="O11" i="1"/>
  <c r="P11" i="1"/>
  <c r="M12" i="1"/>
  <c r="N12" i="1"/>
  <c r="O12" i="1"/>
  <c r="P12" i="1"/>
  <c r="L13" i="1"/>
  <c r="M13" i="1"/>
  <c r="N13" i="1"/>
  <c r="O13" i="1"/>
  <c r="P13" i="1"/>
  <c r="L14" i="1"/>
  <c r="M14" i="1"/>
  <c r="N14" i="1"/>
  <c r="O14" i="1"/>
  <c r="P14" i="1"/>
  <c r="L15" i="1"/>
  <c r="M15" i="1"/>
  <c r="N15" i="1"/>
  <c r="O15" i="1"/>
  <c r="P15" i="1"/>
  <c r="L17" i="1"/>
  <c r="M17" i="1"/>
  <c r="N17" i="1"/>
  <c r="O17" i="1"/>
  <c r="P17" i="1"/>
  <c r="L18" i="1"/>
  <c r="M18" i="1"/>
  <c r="N18" i="1"/>
  <c r="O18" i="1"/>
  <c r="P18" i="1"/>
  <c r="L19" i="1"/>
  <c r="M19" i="1"/>
  <c r="N19" i="1"/>
  <c r="O19" i="1"/>
  <c r="P19" i="1"/>
  <c r="L20" i="1"/>
  <c r="M20" i="1"/>
  <c r="N20" i="1"/>
  <c r="O20" i="1"/>
  <c r="P20" i="1"/>
  <c r="O21" i="1"/>
  <c r="L22" i="1"/>
  <c r="M22" i="1"/>
  <c r="N22" i="1"/>
  <c r="O22" i="1"/>
  <c r="P22" i="1"/>
  <c r="L23" i="1"/>
  <c r="M23" i="1"/>
  <c r="N23" i="1"/>
  <c r="O23" i="1"/>
  <c r="P23" i="1"/>
  <c r="L24" i="1"/>
  <c r="M24" i="1"/>
  <c r="N24" i="1"/>
  <c r="O24" i="1"/>
  <c r="P24" i="1"/>
  <c r="L25" i="1"/>
  <c r="M25" i="1"/>
  <c r="N25" i="1"/>
  <c r="O25" i="1"/>
  <c r="P25" i="1"/>
  <c r="L26" i="1"/>
  <c r="M26" i="1"/>
  <c r="N26" i="1"/>
  <c r="O26" i="1"/>
  <c r="P26" i="1"/>
  <c r="L27" i="1"/>
  <c r="M27" i="1"/>
  <c r="N27" i="1"/>
  <c r="O27" i="1"/>
  <c r="P27" i="1"/>
  <c r="L28" i="1"/>
  <c r="M28" i="1"/>
  <c r="N28" i="1"/>
  <c r="O28" i="1"/>
  <c r="P28" i="1"/>
  <c r="M30" i="1"/>
  <c r="N30" i="1"/>
  <c r="O30" i="1"/>
  <c r="P30" i="1"/>
  <c r="M31" i="1"/>
  <c r="O31" i="1"/>
  <c r="M10" i="1"/>
  <c r="N10" i="1"/>
  <c r="O10" i="1"/>
  <c r="P10" i="1"/>
  <c r="V11" i="11" l="1"/>
  <c r="AA11" i="11" s="1"/>
  <c r="S14" i="11"/>
  <c r="X14" i="11" s="1"/>
  <c r="R15" i="11"/>
  <c r="W15" i="11" s="1"/>
  <c r="U16" i="11"/>
  <c r="Z16" i="11" s="1"/>
  <c r="R19" i="11"/>
  <c r="W19" i="11" s="1"/>
  <c r="V20" i="11"/>
  <c r="AA20" i="11" s="1"/>
  <c r="T22" i="11"/>
  <c r="Y22" i="11" s="1"/>
  <c r="R24" i="11"/>
  <c r="W24" i="11" s="1"/>
  <c r="U25" i="11"/>
  <c r="Z25" i="11" s="1"/>
  <c r="S28" i="11"/>
  <c r="X28" i="11" s="1"/>
  <c r="T10" i="11"/>
  <c r="Y10" i="11" s="1"/>
  <c r="S11" i="11"/>
  <c r="X11" i="11" s="1"/>
  <c r="R12" i="11"/>
  <c r="W12" i="11" s="1"/>
  <c r="V12" i="11"/>
  <c r="AA12" i="11" s="1"/>
  <c r="U13" i="11"/>
  <c r="Z13" i="11" s="1"/>
  <c r="T14" i="11"/>
  <c r="Y14" i="11" s="1"/>
  <c r="S15" i="11"/>
  <c r="X15" i="11" s="1"/>
  <c r="R16" i="11"/>
  <c r="W16" i="11" s="1"/>
  <c r="V16" i="11"/>
  <c r="AA16" i="11" s="1"/>
  <c r="U17" i="11"/>
  <c r="Z17" i="11" s="1"/>
  <c r="T18" i="11"/>
  <c r="Y18" i="11" s="1"/>
  <c r="S19" i="11"/>
  <c r="X19" i="11" s="1"/>
  <c r="R20" i="11"/>
  <c r="W20" i="11" s="1"/>
  <c r="R21" i="11"/>
  <c r="W21" i="11" s="1"/>
  <c r="V21" i="11"/>
  <c r="AA21" i="11" s="1"/>
  <c r="U22" i="11"/>
  <c r="Z22" i="11" s="1"/>
  <c r="T23" i="11"/>
  <c r="Y23" i="11" s="1"/>
  <c r="S24" i="11"/>
  <c r="X24" i="11" s="1"/>
  <c r="R25" i="11"/>
  <c r="W25" i="11" s="1"/>
  <c r="V25" i="11"/>
  <c r="AA25" i="11" s="1"/>
  <c r="U26" i="11"/>
  <c r="Z26" i="11" s="1"/>
  <c r="T28" i="11"/>
  <c r="Y28" i="11" s="1"/>
  <c r="T29" i="11"/>
  <c r="Y29" i="11" s="1"/>
  <c r="R30" i="11"/>
  <c r="W30" i="11" s="1"/>
  <c r="V30" i="11"/>
  <c r="AA30" i="11" s="1"/>
  <c r="S10" i="11"/>
  <c r="X10" i="11" s="1"/>
  <c r="U12" i="11"/>
  <c r="Z12" i="11" s="1"/>
  <c r="S18" i="11"/>
  <c r="X18" i="11" s="1"/>
  <c r="S29" i="11"/>
  <c r="X29" i="11" s="1"/>
  <c r="V9" i="11"/>
  <c r="AA9" i="11" s="1"/>
  <c r="U10" i="11"/>
  <c r="Z10" i="11" s="1"/>
  <c r="T11" i="11"/>
  <c r="Y11" i="11" s="1"/>
  <c r="S12" i="11"/>
  <c r="X12" i="11" s="1"/>
  <c r="R13" i="11"/>
  <c r="W13" i="11" s="1"/>
  <c r="V13" i="11"/>
  <c r="AA13" i="11" s="1"/>
  <c r="U14" i="11"/>
  <c r="Z14" i="11" s="1"/>
  <c r="T15" i="11"/>
  <c r="Y15" i="11" s="1"/>
  <c r="S16" i="11"/>
  <c r="X16" i="11" s="1"/>
  <c r="R17" i="11"/>
  <c r="W17" i="11" s="1"/>
  <c r="V17" i="11"/>
  <c r="AA17" i="11" s="1"/>
  <c r="U18" i="11"/>
  <c r="Z18" i="11" s="1"/>
  <c r="T19" i="11"/>
  <c r="Y19" i="11" s="1"/>
  <c r="S20" i="11"/>
  <c r="X20" i="11" s="1"/>
  <c r="S21" i="11"/>
  <c r="X21" i="11" s="1"/>
  <c r="R22" i="11"/>
  <c r="W22" i="11" s="1"/>
  <c r="V22" i="11"/>
  <c r="AA22" i="11" s="1"/>
  <c r="U23" i="11"/>
  <c r="Z23" i="11" s="1"/>
  <c r="T24" i="11"/>
  <c r="Y24" i="11" s="1"/>
  <c r="S25" i="11"/>
  <c r="X25" i="11" s="1"/>
  <c r="R26" i="11"/>
  <c r="W26" i="11" s="1"/>
  <c r="V26" i="11"/>
  <c r="AA26" i="11" s="1"/>
  <c r="V28" i="11"/>
  <c r="AA28" i="11" s="1"/>
  <c r="U29" i="11"/>
  <c r="Z29" i="11" s="1"/>
  <c r="S30" i="11"/>
  <c r="X30" i="11" s="1"/>
  <c r="U28" i="11"/>
  <c r="Z28" i="11" s="1"/>
  <c r="R11" i="11"/>
  <c r="W11" i="11" s="1"/>
  <c r="T13" i="11"/>
  <c r="Y13" i="11" s="1"/>
  <c r="V15" i="11"/>
  <c r="AA15" i="11" s="1"/>
  <c r="T17" i="11"/>
  <c r="Y17" i="11" s="1"/>
  <c r="V19" i="11"/>
  <c r="AA19" i="11" s="1"/>
  <c r="U21" i="11"/>
  <c r="Z21" i="11" s="1"/>
  <c r="S23" i="11"/>
  <c r="X23" i="11" s="1"/>
  <c r="V24" i="11"/>
  <c r="AA24" i="11" s="1"/>
  <c r="T26" i="11"/>
  <c r="Y26" i="11" s="1"/>
  <c r="U30" i="11"/>
  <c r="Z30" i="11" s="1"/>
  <c r="R10" i="11"/>
  <c r="W10" i="11" s="1"/>
  <c r="V10" i="11"/>
  <c r="AA10" i="11" s="1"/>
  <c r="U11" i="11"/>
  <c r="Z11" i="11" s="1"/>
  <c r="T12" i="11"/>
  <c r="Y12" i="11" s="1"/>
  <c r="S13" i="11"/>
  <c r="X13" i="11" s="1"/>
  <c r="R14" i="11"/>
  <c r="W14" i="11" s="1"/>
  <c r="V14" i="11"/>
  <c r="AA14" i="11" s="1"/>
  <c r="U15" i="11"/>
  <c r="Z15" i="11" s="1"/>
  <c r="T16" i="11"/>
  <c r="Y16" i="11" s="1"/>
  <c r="S17" i="11"/>
  <c r="X17" i="11" s="1"/>
  <c r="R18" i="11"/>
  <c r="W18" i="11" s="1"/>
  <c r="V18" i="11"/>
  <c r="AA18" i="11" s="1"/>
  <c r="U19" i="11"/>
  <c r="Z19" i="11" s="1"/>
  <c r="T20" i="11"/>
  <c r="Y20" i="11" s="1"/>
  <c r="T21" i="11"/>
  <c r="Y21" i="11" s="1"/>
  <c r="S22" i="11"/>
  <c r="X22" i="11" s="1"/>
  <c r="R23" i="11"/>
  <c r="W23" i="11" s="1"/>
  <c r="V23" i="11"/>
  <c r="AA23" i="11" s="1"/>
  <c r="U24" i="11"/>
  <c r="Z24" i="11" s="1"/>
  <c r="T25" i="11"/>
  <c r="Y25" i="11" s="1"/>
  <c r="S26" i="11"/>
  <c r="X26" i="11" s="1"/>
  <c r="R28" i="11"/>
  <c r="W28" i="11" s="1"/>
  <c r="R29" i="11"/>
  <c r="W29" i="11" s="1"/>
  <c r="V29" i="11"/>
  <c r="AA29" i="11" s="1"/>
  <c r="T30" i="11"/>
  <c r="Y30" i="11" s="1"/>
  <c r="U20" i="11"/>
  <c r="Z20" i="11" s="1"/>
  <c r="U30" i="1"/>
  <c r="Z30" i="1" s="1"/>
  <c r="V10" i="1"/>
  <c r="AA10" i="1" s="1"/>
  <c r="U31" i="1"/>
  <c r="Z31" i="1" s="1"/>
  <c r="T30" i="1"/>
  <c r="Y30" i="1" s="1"/>
  <c r="T28" i="1"/>
  <c r="Y28" i="1" s="1"/>
  <c r="U27" i="1"/>
  <c r="Z27" i="1" s="1"/>
  <c r="V26" i="1"/>
  <c r="AA26" i="1" s="1"/>
  <c r="R26" i="1"/>
  <c r="W26" i="1" s="1"/>
  <c r="S25" i="1"/>
  <c r="X25" i="1" s="1"/>
  <c r="T24" i="1"/>
  <c r="Y24" i="1" s="1"/>
  <c r="U23" i="1"/>
  <c r="Z23" i="1" s="1"/>
  <c r="V22" i="1"/>
  <c r="AA22" i="1" s="1"/>
  <c r="R22" i="1"/>
  <c r="W22" i="1" s="1"/>
  <c r="T20" i="1"/>
  <c r="Y20" i="1" s="1"/>
  <c r="U19" i="1"/>
  <c r="Z19" i="1" s="1"/>
  <c r="V18" i="1"/>
  <c r="AA18" i="1" s="1"/>
  <c r="R18" i="1"/>
  <c r="W18" i="1" s="1"/>
  <c r="S17" i="1"/>
  <c r="X17" i="1" s="1"/>
  <c r="T16" i="1"/>
  <c r="Y16" i="1" s="1"/>
  <c r="U15" i="1"/>
  <c r="Z15" i="1" s="1"/>
  <c r="V14" i="1"/>
  <c r="AA14" i="1" s="1"/>
  <c r="R14" i="1"/>
  <c r="W14" i="1" s="1"/>
  <c r="S13" i="1"/>
  <c r="X13" i="1" s="1"/>
  <c r="T12" i="1"/>
  <c r="Y12" i="1" s="1"/>
  <c r="T11" i="1"/>
  <c r="Y11" i="1" s="1"/>
  <c r="R21" i="1"/>
  <c r="W21" i="1" s="1"/>
  <c r="V31" i="1"/>
  <c r="AA31" i="1" s="1"/>
  <c r="U10" i="1"/>
  <c r="Z10" i="1" s="1"/>
  <c r="S30" i="1"/>
  <c r="X30" i="1" s="1"/>
  <c r="T27" i="1"/>
  <c r="Y27" i="1" s="1"/>
  <c r="U26" i="1"/>
  <c r="Z26" i="1" s="1"/>
  <c r="V25" i="1"/>
  <c r="AA25" i="1" s="1"/>
  <c r="R25" i="1"/>
  <c r="W25" i="1" s="1"/>
  <c r="S24" i="1"/>
  <c r="X24" i="1" s="1"/>
  <c r="T23" i="1"/>
  <c r="Y23" i="1" s="1"/>
  <c r="U22" i="1"/>
  <c r="Z22" i="1" s="1"/>
  <c r="U21" i="1"/>
  <c r="Z21" i="1" s="1"/>
  <c r="S20" i="1"/>
  <c r="X20" i="1" s="1"/>
  <c r="T19" i="1"/>
  <c r="Y19" i="1" s="1"/>
  <c r="U18" i="1"/>
  <c r="Z18" i="1" s="1"/>
  <c r="V17" i="1"/>
  <c r="AA17" i="1" s="1"/>
  <c r="R17" i="1"/>
  <c r="W17" i="1" s="1"/>
  <c r="S16" i="1"/>
  <c r="X16" i="1" s="1"/>
  <c r="T15" i="1"/>
  <c r="Y15" i="1" s="1"/>
  <c r="U14" i="1"/>
  <c r="Z14" i="1" s="1"/>
  <c r="V13" i="1"/>
  <c r="AA13" i="1" s="1"/>
  <c r="R13" i="1"/>
  <c r="W13" i="1" s="1"/>
  <c r="S12" i="1"/>
  <c r="X12" i="1" s="1"/>
  <c r="S11" i="1"/>
  <c r="X11" i="1" s="1"/>
  <c r="T21" i="1"/>
  <c r="Y21" i="1" s="1"/>
  <c r="R30" i="1"/>
  <c r="W30" i="1" s="1"/>
  <c r="T31" i="1"/>
  <c r="Y31" i="1" s="1"/>
  <c r="S31" i="1"/>
  <c r="X31" i="1" s="1"/>
  <c r="S28" i="1"/>
  <c r="X28" i="1" s="1"/>
  <c r="T10" i="1"/>
  <c r="Y10" i="1" s="1"/>
  <c r="V30" i="1"/>
  <c r="AA30" i="1" s="1"/>
  <c r="V28" i="1"/>
  <c r="AA28" i="1" s="1"/>
  <c r="R28" i="1"/>
  <c r="W28" i="1" s="1"/>
  <c r="S27" i="1"/>
  <c r="X27" i="1" s="1"/>
  <c r="T26" i="1"/>
  <c r="Y26" i="1" s="1"/>
  <c r="U25" i="1"/>
  <c r="Z25" i="1" s="1"/>
  <c r="V24" i="1"/>
  <c r="AA24" i="1" s="1"/>
  <c r="R24" i="1"/>
  <c r="W24" i="1" s="1"/>
  <c r="S23" i="1"/>
  <c r="X23" i="1" s="1"/>
  <c r="T22" i="1"/>
  <c r="Y22" i="1" s="1"/>
  <c r="V20" i="1"/>
  <c r="AA20" i="1" s="1"/>
  <c r="R20" i="1"/>
  <c r="W20" i="1" s="1"/>
  <c r="S19" i="1"/>
  <c r="X19" i="1" s="1"/>
  <c r="T18" i="1"/>
  <c r="Y18" i="1" s="1"/>
  <c r="U17" i="1"/>
  <c r="Z17" i="1" s="1"/>
  <c r="V16" i="1"/>
  <c r="AA16" i="1" s="1"/>
  <c r="R16" i="1"/>
  <c r="W16" i="1" s="1"/>
  <c r="S15" i="1"/>
  <c r="X15" i="1" s="1"/>
  <c r="T14" i="1"/>
  <c r="Y14" i="1" s="1"/>
  <c r="U13" i="1"/>
  <c r="Z13" i="1" s="1"/>
  <c r="V12" i="1"/>
  <c r="AA12" i="1" s="1"/>
  <c r="V11" i="1"/>
  <c r="AA11" i="1" s="1"/>
  <c r="R11" i="1"/>
  <c r="W11" i="1" s="1"/>
  <c r="S21" i="1"/>
  <c r="X21" i="1" s="1"/>
  <c r="R31" i="1"/>
  <c r="W31" i="1" s="1"/>
  <c r="U28" i="1"/>
  <c r="Z28" i="1" s="1"/>
  <c r="V27" i="1"/>
  <c r="AA27" i="1" s="1"/>
  <c r="R27" i="1"/>
  <c r="W27" i="1" s="1"/>
  <c r="S26" i="1"/>
  <c r="X26" i="1" s="1"/>
  <c r="T25" i="1"/>
  <c r="Y25" i="1" s="1"/>
  <c r="U24" i="1"/>
  <c r="Z24" i="1" s="1"/>
  <c r="V23" i="1"/>
  <c r="AA23" i="1" s="1"/>
  <c r="R23" i="1"/>
  <c r="W23" i="1" s="1"/>
  <c r="S22" i="1"/>
  <c r="X22" i="1" s="1"/>
  <c r="U20" i="1"/>
  <c r="Z20" i="1" s="1"/>
  <c r="V19" i="1"/>
  <c r="AA19" i="1" s="1"/>
  <c r="R19" i="1"/>
  <c r="W19" i="1" s="1"/>
  <c r="S18" i="1"/>
  <c r="X18" i="1" s="1"/>
  <c r="T17" i="1"/>
  <c r="Y17" i="1" s="1"/>
  <c r="U16" i="1"/>
  <c r="Z16" i="1" s="1"/>
  <c r="V15" i="1"/>
  <c r="AA15" i="1" s="1"/>
  <c r="R15" i="1"/>
  <c r="W15" i="1" s="1"/>
  <c r="S14" i="1"/>
  <c r="X14" i="1" s="1"/>
  <c r="T13" i="1"/>
  <c r="Y13" i="1" s="1"/>
  <c r="U12" i="1"/>
  <c r="Z12" i="1" s="1"/>
  <c r="U11" i="1"/>
  <c r="Z11" i="1" s="1"/>
  <c r="R12" i="1"/>
  <c r="W12" i="1" s="1"/>
  <c r="V21" i="1"/>
  <c r="AA21" i="1" s="1"/>
  <c r="S10" i="1"/>
  <c r="X10" i="1" s="1"/>
  <c r="Q73" i="6"/>
  <c r="D19" i="10" s="1"/>
  <c r="AH13" i="3"/>
  <c r="AH12" i="3"/>
  <c r="AH11" i="3"/>
  <c r="AH29" i="3"/>
  <c r="AH28" i="3"/>
  <c r="AH27" i="3"/>
  <c r="AH26" i="3"/>
  <c r="AH25" i="3"/>
  <c r="AH24" i="3"/>
  <c r="AH23" i="3"/>
  <c r="AH22" i="3"/>
  <c r="AH21" i="3"/>
  <c r="AH20" i="3"/>
  <c r="AH19" i="3"/>
  <c r="AH18" i="3"/>
  <c r="AH17" i="3"/>
  <c r="AH16" i="3"/>
  <c r="AH15" i="3"/>
  <c r="AH9" i="3"/>
  <c r="AH8" i="3"/>
  <c r="AH14" i="3"/>
  <c r="AH10" i="3"/>
  <c r="AD11" i="3"/>
  <c r="AD15" i="3"/>
  <c r="AD19" i="3"/>
  <c r="AD23" i="3"/>
  <c r="AD27" i="3"/>
  <c r="AG29" i="3"/>
  <c r="AG28" i="3"/>
  <c r="AG27" i="3"/>
  <c r="AG26" i="3"/>
  <c r="AG25" i="3"/>
  <c r="AG24" i="3"/>
  <c r="AG23" i="3"/>
  <c r="AG22" i="3"/>
  <c r="AG21" i="3"/>
  <c r="AG20" i="3"/>
  <c r="AG19" i="3"/>
  <c r="AG18" i="3"/>
  <c r="AG17" i="3"/>
  <c r="AG16" i="3"/>
  <c r="AG15" i="3"/>
  <c r="AG14" i="3"/>
  <c r="AG13" i="3"/>
  <c r="AG12" i="3"/>
  <c r="AG11" i="3"/>
  <c r="AG9" i="3"/>
  <c r="AG10" i="3"/>
  <c r="AD16" i="3"/>
  <c r="AF29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D24" i="3"/>
  <c r="AF28" i="3"/>
  <c r="AF27" i="3"/>
  <c r="AF26" i="3"/>
  <c r="AD9" i="3"/>
  <c r="AD13" i="3"/>
  <c r="AD17" i="3"/>
  <c r="AD21" i="3"/>
  <c r="AD25" i="3"/>
  <c r="AD29" i="3"/>
  <c r="AE29" i="3"/>
  <c r="AE28" i="3"/>
  <c r="AE27" i="3"/>
  <c r="AE26" i="3"/>
  <c r="AE25" i="3"/>
  <c r="AE24" i="3"/>
  <c r="AE23" i="3"/>
  <c r="AE22" i="3"/>
  <c r="AE21" i="3"/>
  <c r="AE20" i="3"/>
  <c r="AE19" i="3"/>
  <c r="AE18" i="3"/>
  <c r="AE17" i="3"/>
  <c r="AE16" i="3"/>
  <c r="AE15" i="3"/>
  <c r="AE14" i="3"/>
  <c r="AE13" i="3"/>
  <c r="AE12" i="3"/>
  <c r="AE11" i="3"/>
  <c r="AE10" i="3"/>
  <c r="AE9" i="3"/>
  <c r="AA31" i="11" l="1"/>
  <c r="B23" i="10" s="1"/>
  <c r="X31" i="11"/>
  <c r="B20" i="10" s="1"/>
  <c r="Y31" i="11"/>
  <c r="B21" i="10" s="1"/>
  <c r="W31" i="11"/>
  <c r="B19" i="10" s="1"/>
  <c r="Z31" i="11"/>
  <c r="B22" i="10" s="1"/>
  <c r="Y32" i="1"/>
  <c r="B10" i="10" s="1"/>
  <c r="AA32" i="1"/>
  <c r="B12" i="10" s="1"/>
  <c r="Z32" i="1"/>
  <c r="B11" i="10" s="1"/>
  <c r="X32" i="1"/>
  <c r="B9" i="10" s="1"/>
  <c r="AH30" i="3"/>
  <c r="C12" i="10" s="1"/>
  <c r="AG30" i="3"/>
  <c r="C11" i="10" s="1"/>
  <c r="AF30" i="3"/>
  <c r="C10" i="10" s="1"/>
  <c r="AE30" i="3"/>
  <c r="C9" i="10" s="1"/>
  <c r="AF12" i="4"/>
  <c r="AF28" i="4"/>
  <c r="Y9" i="4"/>
  <c r="AD9" i="4" s="1"/>
  <c r="AF10" i="4"/>
  <c r="AH10" i="4"/>
  <c r="AF11" i="4"/>
  <c r="AG12" i="4"/>
  <c r="AH12" i="4"/>
  <c r="AF13" i="4"/>
  <c r="AG13" i="4"/>
  <c r="AF14" i="4"/>
  <c r="AH14" i="4"/>
  <c r="AF15" i="4"/>
  <c r="AG16" i="4"/>
  <c r="AF17" i="4"/>
  <c r="AH18" i="4"/>
  <c r="AF19" i="4"/>
  <c r="AG20" i="4"/>
  <c r="AH20" i="4"/>
  <c r="AF21" i="4"/>
  <c r="AF22" i="4"/>
  <c r="AH22" i="4"/>
  <c r="AF23" i="4"/>
  <c r="AG24" i="4"/>
  <c r="AH24" i="4"/>
  <c r="AF25" i="4"/>
  <c r="AF26" i="4"/>
  <c r="AH26" i="4"/>
  <c r="AF27" i="4"/>
  <c r="AG28" i="4"/>
  <c r="AH28" i="4"/>
  <c r="AF29" i="4"/>
  <c r="AF30" i="4"/>
  <c r="AH30" i="4"/>
  <c r="AF9" i="4"/>
  <c r="AG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9" i="4"/>
  <c r="B24" i="10" l="1"/>
  <c r="AH29" i="4"/>
  <c r="AH25" i="4"/>
  <c r="AH21" i="4"/>
  <c r="AH13" i="4"/>
  <c r="AH17" i="4"/>
  <c r="AG29" i="4"/>
  <c r="AG25" i="4"/>
  <c r="AG21" i="4"/>
  <c r="AH9" i="4"/>
  <c r="AH27" i="4"/>
  <c r="AG26" i="4"/>
  <c r="AG22" i="4"/>
  <c r="AH11" i="4"/>
  <c r="AG18" i="4"/>
  <c r="AG17" i="4"/>
  <c r="AF18" i="4"/>
  <c r="AH23" i="4"/>
  <c r="AH19" i="4"/>
  <c r="AG15" i="4"/>
  <c r="AG30" i="4"/>
  <c r="AG27" i="4"/>
  <c r="AG23" i="4"/>
  <c r="AG19" i="4"/>
  <c r="AG10" i="4"/>
  <c r="AF24" i="4"/>
  <c r="AF20" i="4"/>
  <c r="AF16" i="4"/>
  <c r="AG14" i="4"/>
  <c r="AE31" i="4"/>
  <c r="C20" i="10" s="1"/>
  <c r="AH15" i="4"/>
  <c r="AH16" i="4"/>
  <c r="I36" i="10" l="1"/>
  <c r="B11" i="15" s="1"/>
  <c r="I31" i="10"/>
  <c r="I51" i="10"/>
  <c r="B26" i="15" s="1"/>
  <c r="I32" i="10"/>
  <c r="B7" i="15" s="1"/>
  <c r="I49" i="10"/>
  <c r="B24" i="15" s="1"/>
  <c r="I44" i="10"/>
  <c r="B19" i="15" s="1"/>
  <c r="I34" i="10"/>
  <c r="B9" i="15" s="1"/>
  <c r="I50" i="10"/>
  <c r="B25" i="15" s="1"/>
  <c r="I35" i="10"/>
  <c r="B10" i="15" s="1"/>
  <c r="I47" i="10"/>
  <c r="B22" i="15" s="1"/>
  <c r="I43" i="10"/>
  <c r="B18" i="15" s="1"/>
  <c r="I46" i="10"/>
  <c r="B21" i="15" s="1"/>
  <c r="I42" i="10"/>
  <c r="B17" i="15" s="1"/>
  <c r="I45" i="10"/>
  <c r="B20" i="15" s="1"/>
  <c r="I41" i="10"/>
  <c r="B16" i="15" s="1"/>
  <c r="I40" i="10"/>
  <c r="B15" i="15" s="1"/>
  <c r="I39" i="10"/>
  <c r="B14" i="15" s="1"/>
  <c r="I37" i="10"/>
  <c r="B12" i="15" s="1"/>
  <c r="I38" i="10"/>
  <c r="B13" i="15" s="1"/>
  <c r="I48" i="10"/>
  <c r="B23" i="15" s="1"/>
  <c r="I33" i="10"/>
  <c r="B8" i="15" s="1"/>
  <c r="AF31" i="4"/>
  <c r="C21" i="10" s="1"/>
  <c r="AD31" i="4"/>
  <c r="C19" i="10" s="1"/>
  <c r="AH31" i="4"/>
  <c r="C23" i="10" s="1"/>
  <c r="AG31" i="4"/>
  <c r="C22" i="10" s="1"/>
  <c r="I52" i="10" l="1"/>
  <c r="B6" i="15"/>
  <c r="B27" i="15" s="1"/>
  <c r="C24" i="10"/>
  <c r="J51" i="10" l="1"/>
  <c r="C26" i="15" s="1"/>
  <c r="J31" i="10"/>
  <c r="J32" i="10"/>
  <c r="C7" i="15" s="1"/>
  <c r="J40" i="10"/>
  <c r="C15" i="15" s="1"/>
  <c r="J48" i="10"/>
  <c r="C23" i="15" s="1"/>
  <c r="J34" i="10"/>
  <c r="C9" i="15" s="1"/>
  <c r="J37" i="10"/>
  <c r="C12" i="15" s="1"/>
  <c r="J47" i="10"/>
  <c r="C22" i="15" s="1"/>
  <c r="J33" i="10"/>
  <c r="C8" i="15" s="1"/>
  <c r="J41" i="10"/>
  <c r="C16" i="15" s="1"/>
  <c r="J49" i="10"/>
  <c r="C24" i="15" s="1"/>
  <c r="J50" i="10"/>
  <c r="C25" i="15" s="1"/>
  <c r="J42" i="10"/>
  <c r="C17" i="15" s="1"/>
  <c r="J35" i="10"/>
  <c r="C10" i="15" s="1"/>
  <c r="J43" i="10"/>
  <c r="C18" i="15" s="1"/>
  <c r="J36" i="10"/>
  <c r="C11" i="15" s="1"/>
  <c r="J44" i="10"/>
  <c r="C19" i="15" s="1"/>
  <c r="J45" i="10"/>
  <c r="C20" i="15" s="1"/>
  <c r="J38" i="10"/>
  <c r="C13" i="15" s="1"/>
  <c r="J46" i="10"/>
  <c r="C21" i="15" s="1"/>
  <c r="J39" i="10"/>
  <c r="C14" i="15" s="1"/>
  <c r="J52" i="10" l="1"/>
  <c r="C6" i="15"/>
  <c r="C27" i="15" s="1"/>
  <c r="T73" i="6"/>
  <c r="D22" i="10" s="1"/>
  <c r="S73" i="6"/>
  <c r="D21" i="10" s="1"/>
  <c r="R73" i="6"/>
  <c r="D20" i="10" s="1"/>
  <c r="U73" i="6" l="1"/>
  <c r="D23" i="10" s="1"/>
  <c r="P73" i="6"/>
  <c r="D8" i="10" s="1"/>
  <c r="D24" i="10" l="1"/>
  <c r="K33" i="10" s="1"/>
  <c r="D8" i="15" s="1"/>
  <c r="K41" i="10"/>
  <c r="D16" i="15" s="1"/>
  <c r="K35" i="10"/>
  <c r="D10" i="15" s="1"/>
  <c r="K34" i="10"/>
  <c r="D9" i="15" s="1"/>
  <c r="K50" i="10"/>
  <c r="D25" i="15" s="1"/>
  <c r="K44" i="10"/>
  <c r="D19" i="15" s="1"/>
  <c r="K36" i="10"/>
  <c r="D11" i="15" s="1"/>
  <c r="K32" i="10"/>
  <c r="D7" i="15" s="1"/>
  <c r="K42" i="10"/>
  <c r="D17" i="15" s="1"/>
  <c r="K49" i="10"/>
  <c r="D24" i="15" s="1"/>
  <c r="K47" i="10"/>
  <c r="D22" i="15" s="1"/>
  <c r="K43" i="10"/>
  <c r="D18" i="15" s="1"/>
  <c r="K48" i="10"/>
  <c r="D23" i="15" s="1"/>
  <c r="K40" i="10"/>
  <c r="D15" i="15" s="1"/>
  <c r="D10" i="10"/>
  <c r="D11" i="10"/>
  <c r="D12" i="10"/>
  <c r="D9" i="10"/>
  <c r="K37" i="10" l="1"/>
  <c r="D12" i="15" s="1"/>
  <c r="K38" i="10"/>
  <c r="D13" i="15" s="1"/>
  <c r="K39" i="10"/>
  <c r="D14" i="15" s="1"/>
  <c r="K46" i="10"/>
  <c r="D21" i="15" s="1"/>
  <c r="K45" i="10"/>
  <c r="D20" i="15" s="1"/>
  <c r="K51" i="10"/>
  <c r="D26" i="15" s="1"/>
  <c r="K31" i="10"/>
  <c r="D6" i="15"/>
  <c r="D13" i="10"/>
  <c r="W32" i="1"/>
  <c r="B8" i="10" s="1"/>
  <c r="D27" i="15" l="1"/>
  <c r="K52" i="10"/>
  <c r="D48" i="10"/>
  <c r="D31" i="10"/>
  <c r="D51" i="10"/>
  <c r="D47" i="10"/>
  <c r="D45" i="10"/>
  <c r="D42" i="10"/>
  <c r="D34" i="10"/>
  <c r="D39" i="10"/>
  <c r="D37" i="10"/>
  <c r="D35" i="10"/>
  <c r="W33" i="1"/>
  <c r="D50" i="10"/>
  <c r="D49" i="10"/>
  <c r="D46" i="10"/>
  <c r="D38" i="10"/>
  <c r="D33" i="10"/>
  <c r="D41" i="10"/>
  <c r="D43" i="10"/>
  <c r="D40" i="10"/>
  <c r="F11" i="15"/>
  <c r="F19" i="15"/>
  <c r="F13" i="15"/>
  <c r="F24" i="15"/>
  <c r="F12" i="15"/>
  <c r="F20" i="15"/>
  <c r="F21" i="15"/>
  <c r="F14" i="15"/>
  <c r="F22" i="15"/>
  <c r="F15" i="15"/>
  <c r="F23" i="15"/>
  <c r="F8" i="15"/>
  <c r="F16" i="15"/>
  <c r="F18" i="15"/>
  <c r="F7" i="15"/>
  <c r="F9" i="15"/>
  <c r="F17" i="15"/>
  <c r="F25" i="15"/>
  <c r="F10" i="15"/>
  <c r="D36" i="10"/>
  <c r="D32" i="10"/>
  <c r="D44" i="10"/>
  <c r="AD30" i="3"/>
  <c r="C8" i="10" s="1"/>
  <c r="F6" i="15" l="1"/>
  <c r="F27" i="15" s="1"/>
  <c r="B13" i="10"/>
  <c r="AD31" i="3"/>
  <c r="B51" i="10" l="1"/>
  <c r="B31" i="10"/>
  <c r="B35" i="10"/>
  <c r="B43" i="10"/>
  <c r="B46" i="10"/>
  <c r="B47" i="10"/>
  <c r="B49" i="10"/>
  <c r="B42" i="10"/>
  <c r="B36" i="10"/>
  <c r="B44" i="10"/>
  <c r="B38" i="10"/>
  <c r="B39" i="10"/>
  <c r="B40" i="10"/>
  <c r="B33" i="10"/>
  <c r="B34" i="10"/>
  <c r="B50" i="10"/>
  <c r="B37" i="10"/>
  <c r="B45" i="10"/>
  <c r="B32" i="10"/>
  <c r="B48" i="10"/>
  <c r="B41" i="10"/>
  <c r="C13" i="10"/>
  <c r="B53" i="10" l="1"/>
  <c r="C51" i="10"/>
  <c r="C31" i="10"/>
  <c r="C50" i="10"/>
  <c r="C42" i="10"/>
  <c r="C45" i="10"/>
  <c r="C44" i="10"/>
  <c r="C35" i="10"/>
  <c r="C47" i="10"/>
  <c r="C40" i="10"/>
  <c r="C41" i="10"/>
  <c r="C33" i="10"/>
  <c r="C34" i="10"/>
  <c r="C38" i="10"/>
  <c r="C37" i="10"/>
  <c r="C46" i="10"/>
  <c r="C36" i="10"/>
  <c r="C48" i="10"/>
  <c r="C43" i="10"/>
  <c r="C39" i="10"/>
  <c r="C49" i="10"/>
  <c r="C32" i="10"/>
  <c r="Q20" i="9"/>
  <c r="Q24" i="9"/>
  <c r="Q28" i="9"/>
  <c r="Q19" i="9"/>
  <c r="Q23" i="9"/>
  <c r="Q25" i="9"/>
  <c r="Q26" i="9"/>
  <c r="Q27" i="9"/>
  <c r="Q29" i="9"/>
  <c r="Q9" i="9"/>
  <c r="Q10" i="9" l="1"/>
  <c r="S10" i="9" s="1"/>
  <c r="T10" i="9" s="1"/>
  <c r="J10" i="9"/>
  <c r="L10" i="9" s="1"/>
  <c r="M10" i="9" s="1"/>
  <c r="Q21" i="9"/>
  <c r="S21" i="9" s="1"/>
  <c r="T21" i="9" s="1"/>
  <c r="J21" i="9"/>
  <c r="L21" i="9" s="1"/>
  <c r="M21" i="9" s="1"/>
  <c r="Q22" i="9"/>
  <c r="S22" i="9" s="1"/>
  <c r="T22" i="9" s="1"/>
  <c r="J22" i="9"/>
  <c r="L22" i="9" s="1"/>
  <c r="M22" i="9" s="1"/>
  <c r="S24" i="9"/>
  <c r="T24" i="9" s="1"/>
  <c r="J20" i="9"/>
  <c r="L20" i="9" s="1"/>
  <c r="M20" i="9" s="1"/>
  <c r="S26" i="9"/>
  <c r="T26" i="9" s="1"/>
  <c r="J28" i="9"/>
  <c r="L28" i="9" s="1"/>
  <c r="M28" i="9" s="1"/>
  <c r="S28" i="9"/>
  <c r="T28" i="9" s="1"/>
  <c r="S20" i="9"/>
  <c r="T20" i="9" s="1"/>
  <c r="S29" i="9"/>
  <c r="T29" i="9" s="1"/>
  <c r="S25" i="9"/>
  <c r="T25" i="9" s="1"/>
  <c r="J23" i="9"/>
  <c r="L23" i="9" s="1"/>
  <c r="M23" i="9" s="1"/>
  <c r="S9" i="9"/>
  <c r="T9" i="9" s="1"/>
  <c r="J26" i="9"/>
  <c r="L26" i="9" s="1"/>
  <c r="M26" i="9" s="1"/>
  <c r="J27" i="9"/>
  <c r="L27" i="9" s="1"/>
  <c r="M27" i="9" s="1"/>
  <c r="J25" i="9"/>
  <c r="L25" i="9" s="1"/>
  <c r="M25" i="9" s="1"/>
  <c r="S27" i="9"/>
  <c r="T27" i="9" s="1"/>
  <c r="S23" i="9"/>
  <c r="T23" i="9" s="1"/>
  <c r="S19" i="9"/>
  <c r="T19" i="9" s="1"/>
  <c r="J19" i="9"/>
  <c r="L19" i="9" s="1"/>
  <c r="M19" i="9" s="1"/>
  <c r="J24" i="9"/>
  <c r="L24" i="9" s="1"/>
  <c r="M24" i="9" s="1"/>
  <c r="J29" i="9"/>
  <c r="L29" i="9" s="1"/>
  <c r="M29" i="9" s="1"/>
  <c r="Z9" i="9" l="1"/>
  <c r="AA9" i="9" s="1"/>
  <c r="AG29" i="9"/>
  <c r="AH29" i="9" s="1"/>
  <c r="AG28" i="9"/>
  <c r="AH28" i="9" s="1"/>
  <c r="AG27" i="9"/>
  <c r="AH27" i="9" s="1"/>
  <c r="AG26" i="9"/>
  <c r="AH26" i="9" s="1"/>
  <c r="AG25" i="9"/>
  <c r="AH25" i="9" s="1"/>
  <c r="AG24" i="9"/>
  <c r="AH24" i="9" s="1"/>
  <c r="AG23" i="9"/>
  <c r="AH23" i="9" s="1"/>
  <c r="AG22" i="9"/>
  <c r="AH22" i="9" s="1"/>
  <c r="AG21" i="9"/>
  <c r="AH21" i="9" s="1"/>
  <c r="AG20" i="9"/>
  <c r="AH20" i="9" s="1"/>
  <c r="AG19" i="9"/>
  <c r="AH19" i="9" s="1"/>
  <c r="AG10" i="9"/>
  <c r="AH10" i="9" s="1"/>
  <c r="AG9" i="9"/>
  <c r="AH9" i="9" s="1"/>
  <c r="AN29" i="9"/>
  <c r="AO29" i="9" s="1"/>
  <c r="AN28" i="9"/>
  <c r="AO28" i="9" s="1"/>
  <c r="AN27" i="9"/>
  <c r="AO27" i="9" s="1"/>
  <c r="AN26" i="9"/>
  <c r="AO26" i="9" s="1"/>
  <c r="AN25" i="9"/>
  <c r="AO25" i="9" s="1"/>
  <c r="AN24" i="9"/>
  <c r="AO24" i="9" s="1"/>
  <c r="AN23" i="9"/>
  <c r="AO23" i="9" s="1"/>
  <c r="AN22" i="9"/>
  <c r="AO22" i="9" s="1"/>
  <c r="AN21" i="9"/>
  <c r="AO21" i="9" s="1"/>
  <c r="AN20" i="9"/>
  <c r="AO20" i="9" s="1"/>
  <c r="AN19" i="9"/>
  <c r="AO19" i="9" s="1"/>
  <c r="AN10" i="9"/>
  <c r="AO10" i="9" s="1"/>
  <c r="AN9" i="9"/>
  <c r="AO9" i="9" s="1"/>
  <c r="AK21" i="12"/>
  <c r="AL21" i="12" s="1"/>
  <c r="AK20" i="12"/>
  <c r="AL20" i="12" s="1"/>
  <c r="AK19" i="12"/>
  <c r="AL19" i="12" s="1"/>
  <c r="AK18" i="12"/>
  <c r="AL18" i="12" s="1"/>
  <c r="AK17" i="12"/>
  <c r="AL17" i="12" s="1"/>
  <c r="AK16" i="12"/>
  <c r="AL16" i="12" s="1"/>
  <c r="AK15" i="12"/>
  <c r="AL15" i="12" s="1"/>
  <c r="AK14" i="12"/>
  <c r="AL14" i="12" s="1"/>
  <c r="AK13" i="12"/>
  <c r="AL13" i="12" s="1"/>
  <c r="AK12" i="12"/>
  <c r="AL12" i="12" s="1"/>
  <c r="AK11" i="12"/>
  <c r="AL11" i="12" s="1"/>
  <c r="AK10" i="12"/>
  <c r="AL10" i="12" s="1"/>
  <c r="AK9" i="12"/>
  <c r="AL9" i="12" s="1"/>
  <c r="AD21" i="12"/>
  <c r="AE21" i="12" s="1"/>
  <c r="AD20" i="12"/>
  <c r="AE20" i="12" s="1"/>
  <c r="AD19" i="12"/>
  <c r="AE19" i="12" s="1"/>
  <c r="AD18" i="12"/>
  <c r="AE18" i="12" s="1"/>
  <c r="AD17" i="12"/>
  <c r="AE17" i="12" s="1"/>
  <c r="AD16" i="12"/>
  <c r="AE16" i="12" s="1"/>
  <c r="AD15" i="12"/>
  <c r="AE15" i="12" s="1"/>
  <c r="AD14" i="12"/>
  <c r="AE14" i="12" s="1"/>
  <c r="AD13" i="12"/>
  <c r="AE13" i="12" s="1"/>
  <c r="AD12" i="12"/>
  <c r="AE12" i="12" s="1"/>
  <c r="AD11" i="12"/>
  <c r="AE11" i="12" s="1"/>
  <c r="AD10" i="12"/>
  <c r="AE10" i="12" s="1"/>
  <c r="AD9" i="12"/>
  <c r="AE9" i="12" s="1"/>
  <c r="W21" i="12"/>
  <c r="X21" i="12" s="1"/>
  <c r="W20" i="12"/>
  <c r="X20" i="12" s="1"/>
  <c r="W19" i="12"/>
  <c r="X19" i="12" s="1"/>
  <c r="W18" i="12"/>
  <c r="X18" i="12" s="1"/>
  <c r="W17" i="12"/>
  <c r="X17" i="12" s="1"/>
  <c r="W16" i="12"/>
  <c r="X16" i="12" s="1"/>
  <c r="W15" i="12"/>
  <c r="X15" i="12" s="1"/>
  <c r="W14" i="12"/>
  <c r="X14" i="12" s="1"/>
  <c r="W13" i="12"/>
  <c r="X13" i="12" s="1"/>
  <c r="W12" i="12"/>
  <c r="X12" i="12" s="1"/>
  <c r="W11" i="12"/>
  <c r="X11" i="12" s="1"/>
  <c r="W10" i="12"/>
  <c r="X10" i="12" s="1"/>
  <c r="W9" i="12"/>
  <c r="X9" i="12" s="1"/>
  <c r="X31" i="9" l="1"/>
  <c r="Z31" i="9" s="1"/>
  <c r="AA31" i="9" s="1"/>
  <c r="X32" i="9"/>
  <c r="Z32" i="9" s="1"/>
  <c r="AA32" i="9" s="1"/>
  <c r="X33" i="9"/>
  <c r="Z33" i="9" s="1"/>
  <c r="AA33" i="9" s="1"/>
  <c r="X36" i="9"/>
  <c r="Z36" i="9" s="1"/>
  <c r="AA36" i="9" s="1"/>
  <c r="X37" i="9"/>
  <c r="Z37" i="9" s="1"/>
  <c r="AA37" i="9" s="1"/>
  <c r="X38" i="9"/>
  <c r="Z38" i="9" s="1"/>
  <c r="AA38" i="9" s="1"/>
  <c r="X39" i="9"/>
  <c r="Z39" i="9" s="1"/>
  <c r="AA39" i="9" s="1"/>
  <c r="X41" i="9"/>
  <c r="Z41" i="9" s="1"/>
  <c r="AA41" i="9" s="1"/>
  <c r="X42" i="9"/>
  <c r="Z42" i="9" s="1"/>
  <c r="AA42" i="9" s="1"/>
  <c r="X43" i="9"/>
  <c r="Z43" i="9" s="1"/>
  <c r="AA43" i="9" s="1"/>
  <c r="X44" i="9"/>
  <c r="Z44" i="9" s="1"/>
  <c r="AA44" i="9" s="1"/>
  <c r="X45" i="9"/>
  <c r="Z45" i="9" s="1"/>
  <c r="AA45" i="9" s="1"/>
  <c r="X46" i="9"/>
  <c r="Z46" i="9" s="1"/>
  <c r="AA46" i="9" s="1"/>
  <c r="X47" i="9"/>
  <c r="Z47" i="9" s="1"/>
  <c r="AA47" i="9" s="1"/>
  <c r="X48" i="9"/>
  <c r="Z48" i="9" s="1"/>
  <c r="AA48" i="9" s="1"/>
  <c r="X49" i="9"/>
  <c r="Z49" i="9" s="1"/>
  <c r="AA49" i="9" s="1"/>
  <c r="X50" i="9"/>
  <c r="Z50" i="9" s="1"/>
  <c r="AA50" i="9" s="1"/>
  <c r="X54" i="9"/>
  <c r="Z54" i="9" s="1"/>
  <c r="AA54" i="9" s="1"/>
  <c r="X55" i="9"/>
  <c r="Z55" i="9" s="1"/>
  <c r="AA55" i="9" s="1"/>
  <c r="X56" i="9"/>
  <c r="Z56" i="9" s="1"/>
  <c r="AA56" i="9" s="1"/>
  <c r="X57" i="9"/>
  <c r="Z57" i="9" s="1"/>
  <c r="AA57" i="9" s="1"/>
  <c r="X58" i="9"/>
  <c r="Z58" i="9" s="1"/>
  <c r="AA58" i="9" s="1"/>
  <c r="X59" i="9"/>
  <c r="Z59" i="9" s="1"/>
  <c r="AA59" i="9" s="1"/>
  <c r="X60" i="9"/>
  <c r="Z60" i="9" s="1"/>
  <c r="AA60" i="9" s="1"/>
  <c r="X61" i="9"/>
  <c r="Z61" i="9" s="1"/>
  <c r="AA61" i="9" s="1"/>
  <c r="X62" i="9"/>
  <c r="Z62" i="9" s="1"/>
  <c r="AA62" i="9" s="1"/>
  <c r="X63" i="9"/>
  <c r="Z63" i="9" s="1"/>
  <c r="AA63" i="9" s="1"/>
  <c r="X68" i="9"/>
  <c r="Z68" i="9" s="1"/>
  <c r="AA68" i="9" s="1"/>
  <c r="X69" i="9"/>
  <c r="Z69" i="9" s="1"/>
  <c r="AA69" i="9" s="1"/>
  <c r="X70" i="9"/>
  <c r="Z70" i="9" s="1"/>
  <c r="AA70" i="9" s="1"/>
  <c r="X71" i="9"/>
  <c r="Z71" i="9" s="1"/>
  <c r="AA71" i="9" s="1"/>
  <c r="X72" i="9"/>
  <c r="Z72" i="9" s="1"/>
  <c r="AA72" i="9" s="1"/>
  <c r="X76" i="9"/>
  <c r="Z76" i="9" s="1"/>
  <c r="AA76" i="9" s="1"/>
  <c r="X77" i="9"/>
  <c r="Z77" i="9" s="1"/>
  <c r="AA77" i="9" s="1"/>
  <c r="X78" i="9"/>
  <c r="Z78" i="9" s="1"/>
  <c r="AA78" i="9" s="1"/>
  <c r="X79" i="9"/>
  <c r="Z79" i="9" s="1"/>
  <c r="AA79" i="9" s="1"/>
  <c r="X80" i="9"/>
  <c r="Z80" i="9" s="1"/>
  <c r="AA80" i="9" s="1"/>
  <c r="X81" i="9"/>
  <c r="Z81" i="9" s="1"/>
  <c r="AA81" i="9" s="1"/>
  <c r="X82" i="9"/>
  <c r="Z82" i="9" s="1"/>
  <c r="AA82" i="9" s="1"/>
  <c r="X83" i="9"/>
  <c r="Z83" i="9" s="1"/>
  <c r="AA83" i="9" s="1"/>
  <c r="X84" i="9"/>
  <c r="Z84" i="9" s="1"/>
  <c r="AA84" i="9" s="1"/>
  <c r="X85" i="9"/>
  <c r="Z85" i="9" s="1"/>
  <c r="AA85" i="9" s="1"/>
  <c r="X86" i="9"/>
  <c r="Z86" i="9" s="1"/>
  <c r="AA86" i="9" s="1"/>
  <c r="X87" i="9"/>
  <c r="Z87" i="9" s="1"/>
  <c r="AA87" i="9" s="1"/>
  <c r="X88" i="9"/>
  <c r="Z88" i="9" s="1"/>
  <c r="AA88" i="9" s="1"/>
  <c r="X91" i="9"/>
  <c r="Z91" i="9" s="1"/>
  <c r="AA91" i="9" s="1"/>
  <c r="X92" i="9"/>
  <c r="Z92" i="9" s="1"/>
  <c r="AA92" i="9" s="1"/>
  <c r="X93" i="9"/>
  <c r="Z93" i="9" s="1"/>
  <c r="AA93" i="9" s="1"/>
  <c r="X94" i="9"/>
  <c r="Z94" i="9" s="1"/>
  <c r="AA94" i="9" s="1"/>
  <c r="X95" i="9"/>
  <c r="Z95" i="9" s="1"/>
  <c r="AA95" i="9" s="1"/>
  <c r="X98" i="9"/>
  <c r="Z98" i="9" s="1"/>
  <c r="AA98" i="9" s="1"/>
  <c r="X99" i="9"/>
  <c r="Z99" i="9" s="1"/>
  <c r="AA99" i="9" s="1"/>
  <c r="X100" i="9"/>
  <c r="Z100" i="9" s="1"/>
  <c r="AA100" i="9" s="1"/>
  <c r="X102" i="9"/>
  <c r="Z102" i="9" s="1"/>
  <c r="AA102" i="9" s="1"/>
  <c r="X103" i="9"/>
  <c r="Z103" i="9" s="1"/>
  <c r="AA103" i="9" s="1"/>
  <c r="X108" i="9"/>
  <c r="Z108" i="9" s="1"/>
  <c r="AA108" i="9" s="1"/>
  <c r="X112" i="9"/>
  <c r="Z112" i="9" s="1"/>
  <c r="AA112" i="9" s="1"/>
  <c r="X113" i="9"/>
  <c r="Z113" i="9" s="1"/>
  <c r="AA113" i="9" s="1"/>
  <c r="X114" i="9"/>
  <c r="Z114" i="9" s="1"/>
  <c r="AA114" i="9" s="1"/>
  <c r="X115" i="9"/>
  <c r="Z115" i="9" s="1"/>
  <c r="AA115" i="9" s="1"/>
  <c r="X116" i="9"/>
  <c r="Z116" i="9" s="1"/>
  <c r="AA116" i="9" s="1"/>
  <c r="X117" i="9"/>
  <c r="Z117" i="9" s="1"/>
  <c r="AA117" i="9" s="1"/>
  <c r="X118" i="9"/>
  <c r="Z118" i="9" s="1"/>
  <c r="AA118" i="9" s="1"/>
  <c r="X119" i="9"/>
  <c r="Z119" i="9" s="1"/>
  <c r="AA119" i="9" s="1"/>
  <c r="X120" i="9"/>
  <c r="Z120" i="9" s="1"/>
  <c r="AA120" i="9" s="1"/>
  <c r="X121" i="9"/>
  <c r="Z121" i="9" s="1"/>
  <c r="AA121" i="9" s="1"/>
  <c r="X122" i="9"/>
  <c r="Z122" i="9" s="1"/>
  <c r="AA122" i="9" s="1"/>
  <c r="X123" i="9"/>
  <c r="Z123" i="9" s="1"/>
  <c r="AA123" i="9" s="1"/>
  <c r="X124" i="9"/>
  <c r="Z124" i="9" s="1"/>
  <c r="AA124" i="9" s="1"/>
  <c r="X125" i="9"/>
  <c r="Z125" i="9" s="1"/>
  <c r="AA125" i="9" s="1"/>
  <c r="X126" i="9"/>
  <c r="Z126" i="9" s="1"/>
  <c r="AA126" i="9" s="1"/>
  <c r="X127" i="9"/>
  <c r="Z127" i="9" s="1"/>
  <c r="AA127" i="9" s="1"/>
  <c r="X128" i="9"/>
  <c r="Z128" i="9" s="1"/>
  <c r="AA128" i="9" s="1"/>
  <c r="X129" i="9"/>
  <c r="Z129" i="9" s="1"/>
  <c r="AA129" i="9" s="1"/>
  <c r="X130" i="9"/>
  <c r="Z130" i="9" s="1"/>
  <c r="AA130" i="9" s="1"/>
  <c r="X131" i="9"/>
  <c r="Z131" i="9" s="1"/>
  <c r="AA131" i="9" s="1"/>
  <c r="X132" i="9"/>
  <c r="Z132" i="9" s="1"/>
  <c r="AA132" i="9" s="1"/>
  <c r="X133" i="9"/>
  <c r="Z133" i="9" s="1"/>
  <c r="AA133" i="9" s="1"/>
  <c r="X134" i="9"/>
  <c r="Z134" i="9" s="1"/>
  <c r="AA134" i="9" s="1"/>
  <c r="X135" i="9"/>
  <c r="Z135" i="9" s="1"/>
  <c r="AA135" i="9" s="1"/>
  <c r="X136" i="9"/>
  <c r="Z136" i="9" s="1"/>
  <c r="AA136" i="9" s="1"/>
  <c r="X137" i="9"/>
  <c r="Z137" i="9" s="1"/>
  <c r="AA137" i="9" s="1"/>
  <c r="X138" i="9"/>
  <c r="Z138" i="9" s="1"/>
  <c r="AA138" i="9" s="1"/>
  <c r="X139" i="9"/>
  <c r="Z139" i="9" s="1"/>
  <c r="AA139" i="9" s="1"/>
  <c r="J30" i="9"/>
  <c r="M30" i="9" s="1"/>
  <c r="J41" i="9"/>
  <c r="L41" i="9" s="1"/>
  <c r="M41" i="9" s="1"/>
  <c r="J42" i="9"/>
  <c r="L42" i="9" s="1"/>
  <c r="M42" i="9" s="1"/>
  <c r="J43" i="9"/>
  <c r="L43" i="9" s="1"/>
  <c r="M43" i="9" s="1"/>
  <c r="J45" i="9"/>
  <c r="L45" i="9" s="1"/>
  <c r="M45" i="9" s="1"/>
  <c r="J31" i="9"/>
  <c r="L31" i="9" s="1"/>
  <c r="M31" i="9" s="1"/>
  <c r="J32" i="9"/>
  <c r="L32" i="9" s="1"/>
  <c r="M32" i="9" s="1"/>
  <c r="J33" i="9"/>
  <c r="L33" i="9" s="1"/>
  <c r="M33" i="9" s="1"/>
  <c r="J36" i="9"/>
  <c r="L36" i="9" s="1"/>
  <c r="M36" i="9" s="1"/>
  <c r="J37" i="9"/>
  <c r="L37" i="9" s="1"/>
  <c r="M37" i="9" s="1"/>
  <c r="J38" i="9"/>
  <c r="L38" i="9" s="1"/>
  <c r="M38" i="9" s="1"/>
  <c r="J39" i="9"/>
  <c r="L39" i="9" s="1"/>
  <c r="M39" i="9" s="1"/>
  <c r="J46" i="9"/>
  <c r="L46" i="9" s="1"/>
  <c r="M46" i="9" s="1"/>
  <c r="J47" i="9"/>
  <c r="L47" i="9" s="1"/>
  <c r="M47" i="9" s="1"/>
  <c r="J48" i="9"/>
  <c r="L48" i="9" s="1"/>
  <c r="M48" i="9" s="1"/>
  <c r="J49" i="9"/>
  <c r="L49" i="9" s="1"/>
  <c r="M49" i="9" s="1"/>
  <c r="J50" i="9"/>
  <c r="L50" i="9" s="1"/>
  <c r="M50" i="9" s="1"/>
  <c r="J52" i="9"/>
  <c r="L52" i="9" s="1"/>
  <c r="M52" i="9" s="1"/>
  <c r="J54" i="9"/>
  <c r="L54" i="9" s="1"/>
  <c r="M54" i="9" s="1"/>
  <c r="J55" i="9"/>
  <c r="L55" i="9" s="1"/>
  <c r="M55" i="9" s="1"/>
  <c r="J56" i="9"/>
  <c r="L56" i="9" s="1"/>
  <c r="M56" i="9" s="1"/>
  <c r="J57" i="9"/>
  <c r="L57" i="9" s="1"/>
  <c r="M57" i="9" s="1"/>
  <c r="J58" i="9"/>
  <c r="L58" i="9" s="1"/>
  <c r="M58" i="9" s="1"/>
  <c r="J59" i="9"/>
  <c r="L59" i="9" s="1"/>
  <c r="M59" i="9" s="1"/>
  <c r="J60" i="9"/>
  <c r="L60" i="9" s="1"/>
  <c r="M60" i="9" s="1"/>
  <c r="J61" i="9"/>
  <c r="L61" i="9" s="1"/>
  <c r="M61" i="9" s="1"/>
  <c r="J62" i="9"/>
  <c r="L62" i="9" s="1"/>
  <c r="M62" i="9" s="1"/>
  <c r="J63" i="9"/>
  <c r="J68" i="9"/>
  <c r="L68" i="9" s="1"/>
  <c r="M68" i="9" s="1"/>
  <c r="J69" i="9"/>
  <c r="L69" i="9" s="1"/>
  <c r="M69" i="9" s="1"/>
  <c r="J70" i="9"/>
  <c r="L70" i="9" s="1"/>
  <c r="M70" i="9" s="1"/>
  <c r="J71" i="9"/>
  <c r="L71" i="9" s="1"/>
  <c r="M71" i="9" s="1"/>
  <c r="J72" i="9"/>
  <c r="L72" i="9" s="1"/>
  <c r="M72" i="9" s="1"/>
  <c r="J76" i="9"/>
  <c r="L76" i="9" s="1"/>
  <c r="M76" i="9" s="1"/>
  <c r="J77" i="9"/>
  <c r="L77" i="9" s="1"/>
  <c r="M77" i="9" s="1"/>
  <c r="J78" i="9"/>
  <c r="L78" i="9" s="1"/>
  <c r="M78" i="9" s="1"/>
  <c r="J79" i="9"/>
  <c r="L79" i="9" s="1"/>
  <c r="M79" i="9" s="1"/>
  <c r="J80" i="9"/>
  <c r="L80" i="9" s="1"/>
  <c r="M80" i="9" s="1"/>
  <c r="J81" i="9"/>
  <c r="L81" i="9" s="1"/>
  <c r="M81" i="9" s="1"/>
  <c r="J82" i="9"/>
  <c r="L82" i="9" s="1"/>
  <c r="M82" i="9" s="1"/>
  <c r="J83" i="9"/>
  <c r="L83" i="9" s="1"/>
  <c r="M83" i="9" s="1"/>
  <c r="J84" i="9"/>
  <c r="L84" i="9" s="1"/>
  <c r="M84" i="9" s="1"/>
  <c r="J85" i="9"/>
  <c r="L85" i="9" s="1"/>
  <c r="M85" i="9" s="1"/>
  <c r="J86" i="9"/>
  <c r="L86" i="9" s="1"/>
  <c r="M86" i="9" s="1"/>
  <c r="J87" i="9"/>
  <c r="L87" i="9" s="1"/>
  <c r="M87" i="9" s="1"/>
  <c r="J88" i="9"/>
  <c r="L88" i="9" s="1"/>
  <c r="M88" i="9" s="1"/>
  <c r="J92" i="9"/>
  <c r="L92" i="9" s="1"/>
  <c r="M92" i="9" s="1"/>
  <c r="J93" i="9"/>
  <c r="L93" i="9" s="1"/>
  <c r="M93" i="9" s="1"/>
  <c r="J94" i="9"/>
  <c r="L94" i="9" s="1"/>
  <c r="M94" i="9" s="1"/>
  <c r="J95" i="9"/>
  <c r="L95" i="9" s="1"/>
  <c r="M95" i="9" s="1"/>
  <c r="J98" i="9"/>
  <c r="L98" i="9" s="1"/>
  <c r="M98" i="9" s="1"/>
  <c r="J99" i="9"/>
  <c r="L99" i="9" s="1"/>
  <c r="M99" i="9" s="1"/>
  <c r="J100" i="9"/>
  <c r="L100" i="9" s="1"/>
  <c r="M100" i="9" s="1"/>
  <c r="J102" i="9"/>
  <c r="L102" i="9" s="1"/>
  <c r="M102" i="9" s="1"/>
  <c r="J103" i="9"/>
  <c r="L103" i="9" s="1"/>
  <c r="M103" i="9" s="1"/>
  <c r="J113" i="9"/>
  <c r="L113" i="9" s="1"/>
  <c r="M113" i="9" s="1"/>
  <c r="J114" i="9"/>
  <c r="L114" i="9" s="1"/>
  <c r="M114" i="9" s="1"/>
  <c r="J115" i="9"/>
  <c r="L115" i="9" s="1"/>
  <c r="M115" i="9" s="1"/>
  <c r="J116" i="9"/>
  <c r="L116" i="9" s="1"/>
  <c r="M116" i="9" s="1"/>
  <c r="J117" i="9"/>
  <c r="L117" i="9" s="1"/>
  <c r="M117" i="9" s="1"/>
  <c r="J118" i="9"/>
  <c r="L118" i="9" s="1"/>
  <c r="M118" i="9" s="1"/>
  <c r="J119" i="9"/>
  <c r="L119" i="9" s="1"/>
  <c r="M119" i="9" s="1"/>
  <c r="J120" i="9"/>
  <c r="L120" i="9" s="1"/>
  <c r="M120" i="9" s="1"/>
  <c r="J121" i="9"/>
  <c r="L121" i="9" s="1"/>
  <c r="M121" i="9" s="1"/>
  <c r="J122" i="9"/>
  <c r="L122" i="9" s="1"/>
  <c r="M122" i="9" s="1"/>
  <c r="J123" i="9"/>
  <c r="L123" i="9" s="1"/>
  <c r="M123" i="9" s="1"/>
  <c r="J124" i="9"/>
  <c r="L124" i="9" s="1"/>
  <c r="M124" i="9" s="1"/>
  <c r="J125" i="9"/>
  <c r="L125" i="9" s="1"/>
  <c r="M125" i="9" s="1"/>
  <c r="J126" i="9"/>
  <c r="L126" i="9" s="1"/>
  <c r="M126" i="9" s="1"/>
  <c r="J127" i="9"/>
  <c r="L127" i="9" s="1"/>
  <c r="M127" i="9" s="1"/>
  <c r="J128" i="9"/>
  <c r="L128" i="9" s="1"/>
  <c r="M128" i="9" s="1"/>
  <c r="J132" i="9"/>
  <c r="L132" i="9" s="1"/>
  <c r="M132" i="9" s="1"/>
  <c r="J133" i="9"/>
  <c r="L133" i="9" s="1"/>
  <c r="M133" i="9" s="1"/>
  <c r="J134" i="9"/>
  <c r="L134" i="9" s="1"/>
  <c r="M134" i="9" s="1"/>
  <c r="J135" i="9"/>
  <c r="L135" i="9" s="1"/>
  <c r="M135" i="9" s="1"/>
  <c r="J136" i="9"/>
  <c r="L136" i="9" s="1"/>
  <c r="M136" i="9" s="1"/>
  <c r="L63" i="9" l="1"/>
  <c r="M63" i="9" s="1"/>
  <c r="U33" i="12"/>
  <c r="W33" i="12" s="1"/>
  <c r="X33" i="12" s="1"/>
  <c r="U26" i="12"/>
  <c r="W26" i="12" s="1"/>
  <c r="X26" i="12" s="1"/>
  <c r="U30" i="12"/>
  <c r="W30" i="12" s="1"/>
  <c r="X30" i="12" s="1"/>
  <c r="U34" i="12"/>
  <c r="W34" i="12" s="1"/>
  <c r="X34" i="12" s="1"/>
  <c r="U38" i="12"/>
  <c r="W38" i="12" s="1"/>
  <c r="X38" i="12" s="1"/>
  <c r="U42" i="12"/>
  <c r="W42" i="12" s="1"/>
  <c r="X42" i="12" s="1"/>
  <c r="U46" i="12"/>
  <c r="W46" i="12" s="1"/>
  <c r="X46" i="12" s="1"/>
  <c r="U50" i="12"/>
  <c r="W50" i="12" s="1"/>
  <c r="X50" i="12" s="1"/>
  <c r="U54" i="12"/>
  <c r="W54" i="12" s="1"/>
  <c r="X54" i="12" s="1"/>
  <c r="U58" i="12"/>
  <c r="W58" i="12" s="1"/>
  <c r="X58" i="12" s="1"/>
  <c r="U62" i="12"/>
  <c r="W62" i="12" s="1"/>
  <c r="X62" i="12" s="1"/>
  <c r="U66" i="12"/>
  <c r="W66" i="12" s="1"/>
  <c r="X66" i="12" s="1"/>
  <c r="U70" i="12"/>
  <c r="W70" i="12" s="1"/>
  <c r="X70" i="12" s="1"/>
  <c r="U74" i="12"/>
  <c r="W74" i="12" s="1"/>
  <c r="X74" i="12" s="1"/>
  <c r="U78" i="12"/>
  <c r="W78" i="12" s="1"/>
  <c r="X78" i="12" s="1"/>
  <c r="U82" i="12"/>
  <c r="W82" i="12" s="1"/>
  <c r="X82" i="12" s="1"/>
  <c r="U86" i="12"/>
  <c r="W86" i="12" s="1"/>
  <c r="X86" i="12" s="1"/>
  <c r="U90" i="12"/>
  <c r="W90" i="12" s="1"/>
  <c r="X90" i="12" s="1"/>
  <c r="U94" i="12"/>
  <c r="W94" i="12" s="1"/>
  <c r="X94" i="12" s="1"/>
  <c r="U98" i="12"/>
  <c r="W98" i="12" s="1"/>
  <c r="X98" i="12" s="1"/>
  <c r="U102" i="12"/>
  <c r="W102" i="12" s="1"/>
  <c r="X102" i="12" s="1"/>
  <c r="U106" i="12"/>
  <c r="W106" i="12" s="1"/>
  <c r="X106" i="12" s="1"/>
  <c r="U25" i="12"/>
  <c r="W25" i="12" s="1"/>
  <c r="X25" i="12" s="1"/>
  <c r="U29" i="12"/>
  <c r="W29" i="12" s="1"/>
  <c r="X29" i="12" s="1"/>
  <c r="U37" i="12"/>
  <c r="W37" i="12" s="1"/>
  <c r="X37" i="12" s="1"/>
  <c r="U41" i="12"/>
  <c r="W41" i="12" s="1"/>
  <c r="X41" i="12" s="1"/>
  <c r="U45" i="12"/>
  <c r="W45" i="12" s="1"/>
  <c r="X45" i="12" s="1"/>
  <c r="U49" i="12"/>
  <c r="W49" i="12" s="1"/>
  <c r="X49" i="12" s="1"/>
  <c r="U53" i="12"/>
  <c r="W53" i="12" s="1"/>
  <c r="X53" i="12" s="1"/>
  <c r="U57" i="12"/>
  <c r="W57" i="12" s="1"/>
  <c r="X57" i="12" s="1"/>
  <c r="U61" i="12"/>
  <c r="W61" i="12" s="1"/>
  <c r="X61" i="12" s="1"/>
  <c r="U65" i="12"/>
  <c r="W65" i="12" s="1"/>
  <c r="X65" i="12" s="1"/>
  <c r="U69" i="12"/>
  <c r="U73" i="12"/>
  <c r="W73" i="12" s="1"/>
  <c r="X73" i="12" s="1"/>
  <c r="U77" i="12"/>
  <c r="W77" i="12" s="1"/>
  <c r="X77" i="12" s="1"/>
  <c r="U85" i="12"/>
  <c r="W85" i="12" s="1"/>
  <c r="X85" i="12" s="1"/>
  <c r="U89" i="12"/>
  <c r="W89" i="12" s="1"/>
  <c r="X89" i="12" s="1"/>
  <c r="U93" i="12"/>
  <c r="W93" i="12" s="1"/>
  <c r="X93" i="12" s="1"/>
  <c r="U97" i="12"/>
  <c r="W97" i="12" s="1"/>
  <c r="X97" i="12" s="1"/>
  <c r="U101" i="12"/>
  <c r="W101" i="12" s="1"/>
  <c r="X101" i="12" s="1"/>
  <c r="U105" i="12"/>
  <c r="W105" i="12" s="1"/>
  <c r="X105" i="12" s="1"/>
  <c r="AB62" i="12"/>
  <c r="AD62" i="12" s="1"/>
  <c r="AE62" i="12" s="1"/>
  <c r="AB66" i="12"/>
  <c r="AD66" i="12" s="1"/>
  <c r="AE66" i="12" s="1"/>
  <c r="AB70" i="12"/>
  <c r="AD70" i="12" s="1"/>
  <c r="AE70" i="12" s="1"/>
  <c r="AB74" i="12"/>
  <c r="AD74" i="12" s="1"/>
  <c r="AE74" i="12" s="1"/>
  <c r="AB78" i="12"/>
  <c r="AD78" i="12" s="1"/>
  <c r="AE78" i="12" s="1"/>
  <c r="AB86" i="12"/>
  <c r="AD86" i="12" s="1"/>
  <c r="AE86" i="12" s="1"/>
  <c r="AB90" i="12"/>
  <c r="AD90" i="12" s="1"/>
  <c r="AE90" i="12" s="1"/>
  <c r="AB94" i="12"/>
  <c r="AD94" i="12" s="1"/>
  <c r="AE94" i="12" s="1"/>
  <c r="AB59" i="12"/>
  <c r="AD59" i="12" s="1"/>
  <c r="AE59" i="12" s="1"/>
  <c r="AB63" i="12"/>
  <c r="AD63" i="12" s="1"/>
  <c r="AE63" i="12" s="1"/>
  <c r="AB67" i="12"/>
  <c r="AD67" i="12" s="1"/>
  <c r="AE67" i="12" s="1"/>
  <c r="AB71" i="12"/>
  <c r="AD71" i="12" s="1"/>
  <c r="AE71" i="12" s="1"/>
  <c r="AB75" i="12"/>
  <c r="AD75" i="12" s="1"/>
  <c r="AE75" i="12" s="1"/>
  <c r="AB79" i="12"/>
  <c r="AD79" i="12" s="1"/>
  <c r="AE79" i="12" s="1"/>
  <c r="AB80" i="12"/>
  <c r="AD80" i="12" s="1"/>
  <c r="AE80" i="12" s="1"/>
  <c r="U24" i="12"/>
  <c r="W24" i="12" s="1"/>
  <c r="X24" i="12" s="1"/>
  <c r="U28" i="12"/>
  <c r="W28" i="12" s="1"/>
  <c r="X28" i="12" s="1"/>
  <c r="U32" i="12"/>
  <c r="W32" i="12" s="1"/>
  <c r="X32" i="12" s="1"/>
  <c r="U36" i="12"/>
  <c r="W36" i="12" s="1"/>
  <c r="X36" i="12" s="1"/>
  <c r="U40" i="12"/>
  <c r="W40" i="12" s="1"/>
  <c r="X40" i="12" s="1"/>
  <c r="U44" i="12"/>
  <c r="W44" i="12" s="1"/>
  <c r="X44" i="12" s="1"/>
  <c r="U48" i="12"/>
  <c r="W48" i="12" s="1"/>
  <c r="X48" i="12" s="1"/>
  <c r="U52" i="12"/>
  <c r="W52" i="12" s="1"/>
  <c r="X52" i="12" s="1"/>
  <c r="U56" i="12"/>
  <c r="W56" i="12" s="1"/>
  <c r="X56" i="12" s="1"/>
  <c r="U60" i="12"/>
  <c r="W60" i="12" s="1"/>
  <c r="X60" i="12" s="1"/>
  <c r="U64" i="12"/>
  <c r="W64" i="12" s="1"/>
  <c r="X64" i="12" s="1"/>
  <c r="U68" i="12"/>
  <c r="W68" i="12" s="1"/>
  <c r="X68" i="12" s="1"/>
  <c r="U72" i="12"/>
  <c r="W72" i="12" s="1"/>
  <c r="X72" i="12" s="1"/>
  <c r="U76" i="12"/>
  <c r="W76" i="12" s="1"/>
  <c r="X76" i="12" s="1"/>
  <c r="U80" i="12"/>
  <c r="W80" i="12" s="1"/>
  <c r="X80" i="12" s="1"/>
  <c r="U84" i="12"/>
  <c r="W84" i="12" s="1"/>
  <c r="X84" i="12" s="1"/>
  <c r="U88" i="12"/>
  <c r="W88" i="12" s="1"/>
  <c r="X88" i="12" s="1"/>
  <c r="U92" i="12"/>
  <c r="W92" i="12" s="1"/>
  <c r="X92" i="12" s="1"/>
  <c r="U96" i="12"/>
  <c r="W96" i="12" s="1"/>
  <c r="X96" i="12" s="1"/>
  <c r="U100" i="12"/>
  <c r="W100" i="12" s="1"/>
  <c r="X100" i="12" s="1"/>
  <c r="U104" i="12"/>
  <c r="W104" i="12" s="1"/>
  <c r="X104" i="12" s="1"/>
  <c r="U108" i="12"/>
  <c r="W108" i="12" s="1"/>
  <c r="X108" i="12" s="1"/>
  <c r="AB104" i="12"/>
  <c r="AD104" i="12" s="1"/>
  <c r="AE104" i="12" s="1"/>
  <c r="AB108" i="12"/>
  <c r="AD108" i="12" s="1"/>
  <c r="AE108" i="12" s="1"/>
  <c r="AB60" i="12"/>
  <c r="AD60" i="12" s="1"/>
  <c r="AE60" i="12" s="1"/>
  <c r="AB64" i="12"/>
  <c r="AD64" i="12" s="1"/>
  <c r="AE64" i="12" s="1"/>
  <c r="AB68" i="12"/>
  <c r="AD68" i="12" s="1"/>
  <c r="AE68" i="12" s="1"/>
  <c r="AB72" i="12"/>
  <c r="AD72" i="12" s="1"/>
  <c r="AE72" i="12" s="1"/>
  <c r="AB76" i="12"/>
  <c r="AD76" i="12" s="1"/>
  <c r="AE76" i="12" s="1"/>
  <c r="AB84" i="12"/>
  <c r="AD84" i="12" s="1"/>
  <c r="AE84" i="12" s="1"/>
  <c r="AB88" i="12"/>
  <c r="AD88" i="12" s="1"/>
  <c r="AE88" i="12" s="1"/>
  <c r="AB92" i="12"/>
  <c r="AD92" i="12" s="1"/>
  <c r="AE92" i="12" s="1"/>
  <c r="AB96" i="12"/>
  <c r="AD96" i="12" s="1"/>
  <c r="AE96" i="12" s="1"/>
  <c r="AB102" i="12"/>
  <c r="AD102" i="12" s="1"/>
  <c r="AE102" i="12" s="1"/>
  <c r="AB106" i="12"/>
  <c r="AD106" i="12" s="1"/>
  <c r="AE106" i="12" s="1"/>
  <c r="U23" i="12"/>
  <c r="W23" i="12" s="1"/>
  <c r="X23" i="12" s="1"/>
  <c r="U27" i="12"/>
  <c r="W27" i="12" s="1"/>
  <c r="X27" i="12" s="1"/>
  <c r="U35" i="12"/>
  <c r="W35" i="12" s="1"/>
  <c r="X35" i="12" s="1"/>
  <c r="U39" i="12"/>
  <c r="W39" i="12" s="1"/>
  <c r="X39" i="12" s="1"/>
  <c r="U43" i="12"/>
  <c r="W43" i="12" s="1"/>
  <c r="X43" i="12" s="1"/>
  <c r="U47" i="12"/>
  <c r="W47" i="12" s="1"/>
  <c r="X47" i="12" s="1"/>
  <c r="U51" i="12"/>
  <c r="W51" i="12" s="1"/>
  <c r="X51" i="12" s="1"/>
  <c r="U55" i="12"/>
  <c r="W55" i="12" s="1"/>
  <c r="X55" i="12" s="1"/>
  <c r="U59" i="12"/>
  <c r="W59" i="12" s="1"/>
  <c r="X59" i="12" s="1"/>
  <c r="U63" i="12"/>
  <c r="W63" i="12" s="1"/>
  <c r="X63" i="12" s="1"/>
  <c r="U67" i="12"/>
  <c r="W67" i="12" s="1"/>
  <c r="X67" i="12" s="1"/>
  <c r="U71" i="12"/>
  <c r="W71" i="12" s="1"/>
  <c r="X71" i="12" s="1"/>
  <c r="U75" i="12"/>
  <c r="W75" i="12" s="1"/>
  <c r="X75" i="12" s="1"/>
  <c r="U79" i="12"/>
  <c r="W79" i="12" s="1"/>
  <c r="X79" i="12" s="1"/>
  <c r="U83" i="12"/>
  <c r="W83" i="12" s="1"/>
  <c r="X83" i="12" s="1"/>
  <c r="U87" i="12"/>
  <c r="W87" i="12" s="1"/>
  <c r="X87" i="12" s="1"/>
  <c r="U91" i="12"/>
  <c r="W91" i="12" s="1"/>
  <c r="X91" i="12" s="1"/>
  <c r="U95" i="12"/>
  <c r="W95" i="12" s="1"/>
  <c r="X95" i="12" s="1"/>
  <c r="U99" i="12"/>
  <c r="W99" i="12" s="1"/>
  <c r="X99" i="12" s="1"/>
  <c r="U103" i="12"/>
  <c r="W103" i="12" s="1"/>
  <c r="X103" i="12" s="1"/>
  <c r="U107" i="12"/>
  <c r="W107" i="12" s="1"/>
  <c r="X107" i="12" s="1"/>
  <c r="AB33" i="12"/>
  <c r="AD33" i="12" s="1"/>
  <c r="AE33" i="12" s="1"/>
  <c r="AB61" i="12"/>
  <c r="AD61" i="12" s="1"/>
  <c r="AE61" i="12" s="1"/>
  <c r="AB65" i="12"/>
  <c r="AD65" i="12" s="1"/>
  <c r="AE65" i="12" s="1"/>
  <c r="AB69" i="12"/>
  <c r="AB73" i="12"/>
  <c r="AD73" i="12" s="1"/>
  <c r="AE73" i="12" s="1"/>
  <c r="AB77" i="12"/>
  <c r="AD77" i="12" s="1"/>
  <c r="AE77" i="12" s="1"/>
  <c r="AB81" i="12"/>
  <c r="AD81" i="12" s="1"/>
  <c r="AE81" i="12" s="1"/>
  <c r="AI31" i="12"/>
  <c r="AK31" i="12" s="1"/>
  <c r="AL31" i="12" s="1"/>
  <c r="AI23" i="12"/>
  <c r="AK23" i="12" s="1"/>
  <c r="AL23" i="12" s="1"/>
  <c r="AI25" i="12"/>
  <c r="AK25" i="12" s="1"/>
  <c r="AL25" i="12" s="1"/>
  <c r="AI29" i="12"/>
  <c r="AK29" i="12" s="1"/>
  <c r="AL29" i="12" s="1"/>
  <c r="AI32" i="12"/>
  <c r="AK32" i="12" s="1"/>
  <c r="AL32" i="12" s="1"/>
  <c r="AI35" i="12"/>
  <c r="AK35" i="12" s="1"/>
  <c r="AL35" i="12" s="1"/>
  <c r="AI39" i="12"/>
  <c r="AK39" i="12" s="1"/>
  <c r="AL39" i="12" s="1"/>
  <c r="AI44" i="12"/>
  <c r="AK44" i="12" s="1"/>
  <c r="AL44" i="12" s="1"/>
  <c r="AI48" i="12"/>
  <c r="AK48" i="12" s="1"/>
  <c r="AL48" i="12" s="1"/>
  <c r="AI50" i="12"/>
  <c r="AK50" i="12" s="1"/>
  <c r="AL50" i="12" s="1"/>
  <c r="AI54" i="12"/>
  <c r="AK54" i="12" s="1"/>
  <c r="AL54" i="12" s="1"/>
  <c r="AI58" i="12"/>
  <c r="AK58" i="12" s="1"/>
  <c r="AL58" i="12" s="1"/>
  <c r="AI62" i="12"/>
  <c r="AK62" i="12" s="1"/>
  <c r="AL62" i="12" s="1"/>
  <c r="AI64" i="12"/>
  <c r="AK64" i="12" s="1"/>
  <c r="AL64" i="12" s="1"/>
  <c r="AI68" i="12"/>
  <c r="AK68" i="12" s="1"/>
  <c r="AL68" i="12" s="1"/>
  <c r="AI70" i="12"/>
  <c r="AK70" i="12" s="1"/>
  <c r="AL70" i="12" s="1"/>
  <c r="AI72" i="12"/>
  <c r="AK72" i="12" s="1"/>
  <c r="AL72" i="12" s="1"/>
  <c r="AI76" i="12"/>
  <c r="AK76" i="12" s="1"/>
  <c r="AL76" i="12" s="1"/>
  <c r="AI78" i="12"/>
  <c r="AK78" i="12" s="1"/>
  <c r="AL78" i="12" s="1"/>
  <c r="AI80" i="12"/>
  <c r="AK80" i="12" s="1"/>
  <c r="AL80" i="12" s="1"/>
  <c r="AI82" i="12"/>
  <c r="AK82" i="12" s="1"/>
  <c r="AL82" i="12" s="1"/>
  <c r="AI84" i="12"/>
  <c r="AK84" i="12" s="1"/>
  <c r="AL84" i="12" s="1"/>
  <c r="AI86" i="12"/>
  <c r="AK86" i="12" s="1"/>
  <c r="AL86" i="12" s="1"/>
  <c r="AI90" i="12"/>
  <c r="AK90" i="12" s="1"/>
  <c r="AL90" i="12" s="1"/>
  <c r="AI92" i="12"/>
  <c r="AK92" i="12" s="1"/>
  <c r="AL92" i="12" s="1"/>
  <c r="AI94" i="12"/>
  <c r="AK94" i="12" s="1"/>
  <c r="AL94" i="12" s="1"/>
  <c r="AI96" i="12"/>
  <c r="AK96" i="12" s="1"/>
  <c r="AL96" i="12" s="1"/>
  <c r="AI102" i="12"/>
  <c r="AK102" i="12" s="1"/>
  <c r="AL102" i="12" s="1"/>
  <c r="AI104" i="12"/>
  <c r="AK104" i="12" s="1"/>
  <c r="AL104" i="12" s="1"/>
  <c r="AI106" i="12"/>
  <c r="AK106" i="12" s="1"/>
  <c r="AL106" i="12" s="1"/>
  <c r="AI108" i="12"/>
  <c r="AK108" i="12" s="1"/>
  <c r="AL108" i="12" s="1"/>
  <c r="AI33" i="12"/>
  <c r="AK33" i="12" s="1"/>
  <c r="AL33" i="12" s="1"/>
  <c r="AI40" i="12"/>
  <c r="AK40" i="12" s="1"/>
  <c r="AL40" i="12" s="1"/>
  <c r="AI27" i="12"/>
  <c r="AK27" i="12" s="1"/>
  <c r="AL27" i="12" s="1"/>
  <c r="AI37" i="12"/>
  <c r="AK37" i="12" s="1"/>
  <c r="AL37" i="12" s="1"/>
  <c r="AI42" i="12"/>
  <c r="AK42" i="12" s="1"/>
  <c r="AL42" i="12" s="1"/>
  <c r="AI46" i="12"/>
  <c r="AK46" i="12" s="1"/>
  <c r="AL46" i="12" s="1"/>
  <c r="AI52" i="12"/>
  <c r="AK52" i="12" s="1"/>
  <c r="AL52" i="12" s="1"/>
  <c r="AI56" i="12"/>
  <c r="AK56" i="12" s="1"/>
  <c r="AL56" i="12" s="1"/>
  <c r="AI60" i="12"/>
  <c r="AK60" i="12" s="1"/>
  <c r="AL60" i="12" s="1"/>
  <c r="AI66" i="12"/>
  <c r="AK66" i="12" s="1"/>
  <c r="AL66" i="12" s="1"/>
  <c r="AI74" i="12"/>
  <c r="AK74" i="12" s="1"/>
  <c r="AL74" i="12" s="1"/>
  <c r="AI88" i="12"/>
  <c r="AK88" i="12" s="1"/>
  <c r="AL88" i="12" s="1"/>
  <c r="AI22" i="12"/>
  <c r="AK22" i="12" s="1"/>
  <c r="AL22" i="12" s="1"/>
  <c r="AN30" i="9"/>
  <c r="AO30" i="9" s="1"/>
  <c r="AI24" i="12"/>
  <c r="AK24" i="12" s="1"/>
  <c r="AL24" i="12" s="1"/>
  <c r="AI26" i="12"/>
  <c r="AK26" i="12" s="1"/>
  <c r="AL26" i="12" s="1"/>
  <c r="AI28" i="12"/>
  <c r="AK28" i="12" s="1"/>
  <c r="AL28" i="12" s="1"/>
  <c r="AI30" i="12"/>
  <c r="AK30" i="12" s="1"/>
  <c r="AL30" i="12" s="1"/>
  <c r="AI34" i="12"/>
  <c r="AK34" i="12" s="1"/>
  <c r="AL34" i="12" s="1"/>
  <c r="AI36" i="12"/>
  <c r="AK36" i="12" s="1"/>
  <c r="AL36" i="12" s="1"/>
  <c r="AI38" i="12"/>
  <c r="AK38" i="12" s="1"/>
  <c r="AL38" i="12" s="1"/>
  <c r="AI41" i="12"/>
  <c r="AK41" i="12" s="1"/>
  <c r="AL41" i="12" s="1"/>
  <c r="AI43" i="12"/>
  <c r="AK43" i="12" s="1"/>
  <c r="AL43" i="12" s="1"/>
  <c r="AI45" i="12"/>
  <c r="AK45" i="12" s="1"/>
  <c r="AL45" i="12" s="1"/>
  <c r="AI47" i="12"/>
  <c r="AK47" i="12" s="1"/>
  <c r="AL47" i="12" s="1"/>
  <c r="AI49" i="12"/>
  <c r="AK49" i="12" s="1"/>
  <c r="AL49" i="12" s="1"/>
  <c r="AI51" i="12"/>
  <c r="AK51" i="12" s="1"/>
  <c r="AL51" i="12" s="1"/>
  <c r="AI53" i="12"/>
  <c r="AK53" i="12" s="1"/>
  <c r="AL53" i="12" s="1"/>
  <c r="AI55" i="12"/>
  <c r="AK55" i="12" s="1"/>
  <c r="AL55" i="12" s="1"/>
  <c r="AI57" i="12"/>
  <c r="AK57" i="12" s="1"/>
  <c r="AL57" i="12" s="1"/>
  <c r="AI59" i="12"/>
  <c r="AK59" i="12" s="1"/>
  <c r="AL59" i="12" s="1"/>
  <c r="AI61" i="12"/>
  <c r="AK61" i="12" s="1"/>
  <c r="AL61" i="12" s="1"/>
  <c r="AI65" i="12"/>
  <c r="AK65" i="12" s="1"/>
  <c r="AL65" i="12" s="1"/>
  <c r="AI67" i="12"/>
  <c r="AK67" i="12" s="1"/>
  <c r="AL67" i="12" s="1"/>
  <c r="AI69" i="12"/>
  <c r="AK69" i="12" s="1"/>
  <c r="AL69" i="12" s="1"/>
  <c r="AM69" i="12" s="1"/>
  <c r="AN89" i="9"/>
  <c r="AO89" i="9" s="1"/>
  <c r="AI71" i="12"/>
  <c r="AK71" i="12" s="1"/>
  <c r="AL71" i="12" s="1"/>
  <c r="AI73" i="12"/>
  <c r="AK73" i="12" s="1"/>
  <c r="AL73" i="12" s="1"/>
  <c r="AI75" i="12"/>
  <c r="AK75" i="12" s="1"/>
  <c r="AL75" i="12" s="1"/>
  <c r="AI77" i="12"/>
  <c r="AK77" i="12" s="1"/>
  <c r="AL77" i="12" s="1"/>
  <c r="AI79" i="12"/>
  <c r="AK79" i="12" s="1"/>
  <c r="AL79" i="12" s="1"/>
  <c r="AI81" i="12"/>
  <c r="AK81" i="12" s="1"/>
  <c r="AL81" i="12" s="1"/>
  <c r="AI83" i="12"/>
  <c r="AK83" i="12" s="1"/>
  <c r="AL83" i="12" s="1"/>
  <c r="AI85" i="12"/>
  <c r="AK85" i="12" s="1"/>
  <c r="AL85" i="12" s="1"/>
  <c r="AI87" i="12"/>
  <c r="AK87" i="12" s="1"/>
  <c r="AL87" i="12" s="1"/>
  <c r="AI89" i="12"/>
  <c r="AK89" i="12" s="1"/>
  <c r="AL89" i="12" s="1"/>
  <c r="AI91" i="12"/>
  <c r="AK91" i="12" s="1"/>
  <c r="AL91" i="12" s="1"/>
  <c r="AI93" i="12"/>
  <c r="AK93" i="12" s="1"/>
  <c r="AL93" i="12" s="1"/>
  <c r="AI97" i="12"/>
  <c r="AK97" i="12" s="1"/>
  <c r="AL97" i="12" s="1"/>
  <c r="AI99" i="12"/>
  <c r="AK99" i="12" s="1"/>
  <c r="AL99" i="12" s="1"/>
  <c r="AI101" i="12"/>
  <c r="AK101" i="12" s="1"/>
  <c r="AL101" i="12" s="1"/>
  <c r="AI103" i="12"/>
  <c r="AK103" i="12" s="1"/>
  <c r="AL103" i="12" s="1"/>
  <c r="AI105" i="12"/>
  <c r="AK105" i="12" s="1"/>
  <c r="AL105" i="12" s="1"/>
  <c r="AI107" i="12"/>
  <c r="AK107" i="12" s="1"/>
  <c r="AL107" i="12" s="1"/>
  <c r="AI63" i="12"/>
  <c r="AK63" i="12" s="1"/>
  <c r="AL63" i="12" s="1"/>
  <c r="AI95" i="12"/>
  <c r="AK95" i="12" s="1"/>
  <c r="AL95" i="12" s="1"/>
  <c r="AB23" i="12"/>
  <c r="AD23" i="12" s="1"/>
  <c r="AE23" i="12" s="1"/>
  <c r="AB25" i="12"/>
  <c r="AD25" i="12" s="1"/>
  <c r="AE25" i="12" s="1"/>
  <c r="AB27" i="12"/>
  <c r="AD27" i="12" s="1"/>
  <c r="AE27" i="12" s="1"/>
  <c r="AB29" i="12"/>
  <c r="AD29" i="12" s="1"/>
  <c r="AE29" i="12" s="1"/>
  <c r="AB32" i="12"/>
  <c r="AD32" i="12" s="1"/>
  <c r="AE32" i="12" s="1"/>
  <c r="AB35" i="12"/>
  <c r="AD35" i="12" s="1"/>
  <c r="AE35" i="12" s="1"/>
  <c r="AB37" i="12"/>
  <c r="AD37" i="12" s="1"/>
  <c r="AE37" i="12" s="1"/>
  <c r="AB42" i="12"/>
  <c r="AD42" i="12" s="1"/>
  <c r="AE42" i="12" s="1"/>
  <c r="AB44" i="12"/>
  <c r="AD44" i="12" s="1"/>
  <c r="AE44" i="12" s="1"/>
  <c r="AB46" i="12"/>
  <c r="AD46" i="12" s="1"/>
  <c r="AE46" i="12" s="1"/>
  <c r="AB48" i="12"/>
  <c r="AD48" i="12" s="1"/>
  <c r="AE48" i="12" s="1"/>
  <c r="AB50" i="12"/>
  <c r="AD50" i="12" s="1"/>
  <c r="AE50" i="12" s="1"/>
  <c r="AB52" i="12"/>
  <c r="AD52" i="12" s="1"/>
  <c r="AE52" i="12" s="1"/>
  <c r="AB54" i="12"/>
  <c r="AD54" i="12" s="1"/>
  <c r="AE54" i="12" s="1"/>
  <c r="AB56" i="12"/>
  <c r="AD56" i="12" s="1"/>
  <c r="AE56" i="12" s="1"/>
  <c r="AB58" i="12"/>
  <c r="AD58" i="12" s="1"/>
  <c r="AE58" i="12" s="1"/>
  <c r="AB100" i="12"/>
  <c r="AD100" i="12" s="1"/>
  <c r="AE100" i="12" s="1"/>
  <c r="AB98" i="12"/>
  <c r="AD98" i="12" s="1"/>
  <c r="AE98" i="12" s="1"/>
  <c r="AB40" i="12"/>
  <c r="AD40" i="12" s="1"/>
  <c r="AE40" i="12" s="1"/>
  <c r="AB39" i="12"/>
  <c r="AD39" i="12" s="1"/>
  <c r="AE39" i="12" s="1"/>
  <c r="U81" i="12"/>
  <c r="W81" i="12" s="1"/>
  <c r="X81" i="12" s="1"/>
  <c r="U31" i="12"/>
  <c r="W31" i="12" s="1"/>
  <c r="X31" i="12" s="1"/>
  <c r="AB82" i="12"/>
  <c r="AD82" i="12" s="1"/>
  <c r="AE82" i="12" s="1"/>
  <c r="AB31" i="12"/>
  <c r="AD31" i="12" s="1"/>
  <c r="AE31" i="12" s="1"/>
  <c r="AB83" i="12"/>
  <c r="AD83" i="12" s="1"/>
  <c r="AE83" i="12" s="1"/>
  <c r="AB85" i="12"/>
  <c r="AD85" i="12" s="1"/>
  <c r="AE85" i="12" s="1"/>
  <c r="AB87" i="12"/>
  <c r="AD87" i="12" s="1"/>
  <c r="AE87" i="12" s="1"/>
  <c r="AB89" i="12"/>
  <c r="AD89" i="12" s="1"/>
  <c r="AE89" i="12" s="1"/>
  <c r="AB91" i="12"/>
  <c r="AD91" i="12" s="1"/>
  <c r="AE91" i="12" s="1"/>
  <c r="AB93" i="12"/>
  <c r="AD93" i="12" s="1"/>
  <c r="AE93" i="12" s="1"/>
  <c r="AB95" i="12"/>
  <c r="AD95" i="12" s="1"/>
  <c r="AE95" i="12" s="1"/>
  <c r="AB97" i="12"/>
  <c r="AD97" i="12" s="1"/>
  <c r="AE97" i="12" s="1"/>
  <c r="AB99" i="12"/>
  <c r="AD99" i="12" s="1"/>
  <c r="AE99" i="12" s="1"/>
  <c r="AB101" i="12"/>
  <c r="AD101" i="12" s="1"/>
  <c r="AE101" i="12" s="1"/>
  <c r="AB103" i="12"/>
  <c r="AD103" i="12" s="1"/>
  <c r="AE103" i="12" s="1"/>
  <c r="AB105" i="12"/>
  <c r="AD105" i="12" s="1"/>
  <c r="AE105" i="12" s="1"/>
  <c r="AB107" i="12"/>
  <c r="AD107" i="12" s="1"/>
  <c r="AE107" i="12" s="1"/>
  <c r="AB22" i="12"/>
  <c r="AD22" i="12" s="1"/>
  <c r="AE22" i="12" s="1"/>
  <c r="AB24" i="12"/>
  <c r="AD24" i="12" s="1"/>
  <c r="AE24" i="12" s="1"/>
  <c r="AB26" i="12"/>
  <c r="AD26" i="12" s="1"/>
  <c r="AE26" i="12" s="1"/>
  <c r="AB28" i="12"/>
  <c r="AD28" i="12" s="1"/>
  <c r="AE28" i="12" s="1"/>
  <c r="AB30" i="12"/>
  <c r="AD30" i="12" s="1"/>
  <c r="AE30" i="12" s="1"/>
  <c r="AB34" i="12"/>
  <c r="AD34" i="12" s="1"/>
  <c r="AE34" i="12" s="1"/>
  <c r="AB36" i="12"/>
  <c r="AD36" i="12" s="1"/>
  <c r="AE36" i="12" s="1"/>
  <c r="AB38" i="12"/>
  <c r="AD38" i="12" s="1"/>
  <c r="AE38" i="12" s="1"/>
  <c r="AB41" i="12"/>
  <c r="AD41" i="12" s="1"/>
  <c r="AE41" i="12" s="1"/>
  <c r="AB43" i="12"/>
  <c r="AD43" i="12" s="1"/>
  <c r="AE43" i="12" s="1"/>
  <c r="AB45" i="12"/>
  <c r="AD45" i="12" s="1"/>
  <c r="AE45" i="12" s="1"/>
  <c r="AB47" i="12"/>
  <c r="AD47" i="12" s="1"/>
  <c r="AE47" i="12" s="1"/>
  <c r="AB49" i="12"/>
  <c r="AD49" i="12" s="1"/>
  <c r="AE49" i="12" s="1"/>
  <c r="AB51" i="12"/>
  <c r="AD51" i="12" s="1"/>
  <c r="AE51" i="12" s="1"/>
  <c r="AB53" i="12"/>
  <c r="AD53" i="12" s="1"/>
  <c r="AE53" i="12" s="1"/>
  <c r="AB55" i="12"/>
  <c r="AD55" i="12" s="1"/>
  <c r="AE55" i="12" s="1"/>
  <c r="AB57" i="12"/>
  <c r="AD57" i="12" s="1"/>
  <c r="AE57" i="12" s="1"/>
  <c r="AN36" i="9"/>
  <c r="AO36" i="9" s="1"/>
  <c r="AE41" i="9"/>
  <c r="AE45" i="9"/>
  <c r="AE49" i="9"/>
  <c r="AN55" i="9"/>
  <c r="AO55" i="9" s="1"/>
  <c r="AN63" i="9"/>
  <c r="AO63" i="9" s="1"/>
  <c r="AN78" i="9"/>
  <c r="AO78" i="9" s="1"/>
  <c r="AN86" i="9"/>
  <c r="AO86" i="9" s="1"/>
  <c r="AN95" i="9"/>
  <c r="AO95" i="9" s="1"/>
  <c r="AE102" i="9"/>
  <c r="AN113" i="9"/>
  <c r="AO113" i="9" s="1"/>
  <c r="AE117" i="9"/>
  <c r="AE121" i="9"/>
  <c r="AE125" i="9"/>
  <c r="AN129" i="9"/>
  <c r="AO129" i="9" s="1"/>
  <c r="AE133" i="9"/>
  <c r="AN137" i="9"/>
  <c r="AO137" i="9" s="1"/>
  <c r="AE42" i="9"/>
  <c r="AE50" i="9"/>
  <c r="AE60" i="9"/>
  <c r="AN68" i="9"/>
  <c r="AO68" i="9" s="1"/>
  <c r="AE79" i="9"/>
  <c r="AN87" i="9"/>
  <c r="AO87" i="9" s="1"/>
  <c r="AN98" i="9"/>
  <c r="AO98" i="9" s="1"/>
  <c r="AE103" i="9"/>
  <c r="AN114" i="9"/>
  <c r="AO114" i="9" s="1"/>
  <c r="AN122" i="9"/>
  <c r="AO122" i="9" s="1"/>
  <c r="AE126" i="9"/>
  <c r="AN130" i="9"/>
  <c r="AO130" i="9" s="1"/>
  <c r="AN138" i="9"/>
  <c r="AO138" i="9" s="1"/>
  <c r="AN32" i="9"/>
  <c r="AO32" i="9" s="1"/>
  <c r="AN43" i="9"/>
  <c r="AO43" i="9" s="1"/>
  <c r="AN52" i="9"/>
  <c r="AO52" i="9" s="1"/>
  <c r="AE57" i="9"/>
  <c r="AN61" i="9"/>
  <c r="AO61" i="9" s="1"/>
  <c r="AN76" i="9"/>
  <c r="AO76" i="9" s="1"/>
  <c r="AN84" i="9"/>
  <c r="AO84" i="9" s="1"/>
  <c r="AE88" i="9"/>
  <c r="AN93" i="9"/>
  <c r="AO93" i="9" s="1"/>
  <c r="AE108" i="9"/>
  <c r="AN119" i="9"/>
  <c r="AO119" i="9" s="1"/>
  <c r="AE123" i="9"/>
  <c r="AE127" i="9"/>
  <c r="AN135" i="9"/>
  <c r="AO135" i="9" s="1"/>
  <c r="AE139" i="9"/>
  <c r="AN33" i="9"/>
  <c r="AO33" i="9" s="1"/>
  <c r="AN44" i="9"/>
  <c r="AO44" i="9" s="1"/>
  <c r="AE48" i="9"/>
  <c r="AN54" i="9"/>
  <c r="AO54" i="9" s="1"/>
  <c r="AN62" i="9"/>
  <c r="AO62" i="9" s="1"/>
  <c r="AE70" i="9"/>
  <c r="AE77" i="9"/>
  <c r="AE81" i="9"/>
  <c r="AN85" i="9"/>
  <c r="AO85" i="9" s="1"/>
  <c r="AE89" i="9"/>
  <c r="AE94" i="9"/>
  <c r="AE100" i="9"/>
  <c r="AE116" i="9"/>
  <c r="AN120" i="9"/>
  <c r="AO120" i="9" s="1"/>
  <c r="AN128" i="9"/>
  <c r="AO128" i="9" s="1"/>
  <c r="AE136" i="9"/>
  <c r="AE30" i="9"/>
  <c r="Q52" i="9"/>
  <c r="S52" i="9" s="1"/>
  <c r="T52" i="9" s="1"/>
  <c r="Q50" i="9"/>
  <c r="S50" i="9" s="1"/>
  <c r="T50" i="9" s="1"/>
  <c r="J138" i="9"/>
  <c r="L138" i="9" s="1"/>
  <c r="M138" i="9" s="1"/>
  <c r="Q138" i="9"/>
  <c r="S138" i="9" s="1"/>
  <c r="T138" i="9" s="1"/>
  <c r="Q89" i="9"/>
  <c r="S89" i="9" s="1"/>
  <c r="T89" i="9" s="1"/>
  <c r="J89" i="9"/>
  <c r="L89" i="9" s="1"/>
  <c r="M89" i="9" s="1"/>
  <c r="Q137" i="9"/>
  <c r="S137" i="9" s="1"/>
  <c r="T137" i="9" s="1"/>
  <c r="J137" i="9"/>
  <c r="L137" i="9" s="1"/>
  <c r="M137" i="9" s="1"/>
  <c r="Q139" i="9"/>
  <c r="S139" i="9" s="1"/>
  <c r="T139" i="9" s="1"/>
  <c r="J139" i="9"/>
  <c r="L139" i="9" s="1"/>
  <c r="M139" i="9" s="1"/>
  <c r="Q133" i="9"/>
  <c r="S133" i="9" s="1"/>
  <c r="T133" i="9" s="1"/>
  <c r="Q127" i="9"/>
  <c r="S127" i="9" s="1"/>
  <c r="T127" i="9" s="1"/>
  <c r="Q118" i="9"/>
  <c r="S118" i="9" s="1"/>
  <c r="T118" i="9" s="1"/>
  <c r="Q103" i="9"/>
  <c r="S103" i="9" s="1"/>
  <c r="T103" i="9" s="1"/>
  <c r="Q92" i="9"/>
  <c r="S92" i="9" s="1"/>
  <c r="T92" i="9" s="1"/>
  <c r="Q84" i="9"/>
  <c r="S84" i="9" s="1"/>
  <c r="T84" i="9" s="1"/>
  <c r="Q76" i="9"/>
  <c r="S76" i="9" s="1"/>
  <c r="T76" i="9" s="1"/>
  <c r="Q48" i="9"/>
  <c r="S48" i="9" s="1"/>
  <c r="T48" i="9" s="1"/>
  <c r="Q31" i="9"/>
  <c r="S31" i="9" s="1"/>
  <c r="T31" i="9" s="1"/>
  <c r="Q132" i="9"/>
  <c r="S132" i="9" s="1"/>
  <c r="T132" i="9" s="1"/>
  <c r="Q123" i="9"/>
  <c r="S123" i="9" s="1"/>
  <c r="T123" i="9" s="1"/>
  <c r="Q115" i="9"/>
  <c r="S115" i="9" s="1"/>
  <c r="T115" i="9" s="1"/>
  <c r="Q99" i="9"/>
  <c r="S99" i="9" s="1"/>
  <c r="T99" i="9" s="1"/>
  <c r="Q86" i="9"/>
  <c r="S86" i="9" s="1"/>
  <c r="T86" i="9" s="1"/>
  <c r="Q78" i="9"/>
  <c r="S78" i="9" s="1"/>
  <c r="T78" i="9" s="1"/>
  <c r="Q63" i="9"/>
  <c r="S63" i="9" s="1"/>
  <c r="T63" i="9" s="1"/>
  <c r="Q55" i="9"/>
  <c r="S55" i="9" s="1"/>
  <c r="T55" i="9" s="1"/>
  <c r="Q47" i="9"/>
  <c r="S47" i="9" s="1"/>
  <c r="T47" i="9" s="1"/>
  <c r="Q41" i="9"/>
  <c r="S41" i="9" s="1"/>
  <c r="T41" i="9" s="1"/>
  <c r="Q129" i="9"/>
  <c r="S129" i="9" s="1"/>
  <c r="T129" i="9" s="1"/>
  <c r="Q125" i="9"/>
  <c r="S125" i="9" s="1"/>
  <c r="T125" i="9" s="1"/>
  <c r="Q122" i="9"/>
  <c r="S122" i="9" s="1"/>
  <c r="T122" i="9" s="1"/>
  <c r="Q117" i="9"/>
  <c r="S117" i="9" s="1"/>
  <c r="T117" i="9" s="1"/>
  <c r="Q114" i="9"/>
  <c r="S114" i="9" s="1"/>
  <c r="T114" i="9" s="1"/>
  <c r="Q102" i="9"/>
  <c r="S102" i="9" s="1"/>
  <c r="T102" i="9" s="1"/>
  <c r="Q98" i="9"/>
  <c r="S98" i="9" s="1"/>
  <c r="T98" i="9" s="1"/>
  <c r="Q91" i="9"/>
  <c r="S91" i="9" s="1"/>
  <c r="T91" i="9" s="1"/>
  <c r="Q88" i="9"/>
  <c r="S88" i="9" s="1"/>
  <c r="T88" i="9" s="1"/>
  <c r="Q83" i="9"/>
  <c r="S83" i="9" s="1"/>
  <c r="T83" i="9" s="1"/>
  <c r="Q80" i="9"/>
  <c r="S80" i="9" s="1"/>
  <c r="T80" i="9" s="1"/>
  <c r="Q72" i="9"/>
  <c r="S72" i="9" s="1"/>
  <c r="T72" i="9" s="1"/>
  <c r="Q69" i="9"/>
  <c r="S69" i="9" s="1"/>
  <c r="T69" i="9" s="1"/>
  <c r="Q60" i="9"/>
  <c r="S60" i="9" s="1"/>
  <c r="T60" i="9" s="1"/>
  <c r="Q57" i="9"/>
  <c r="S57" i="9" s="1"/>
  <c r="T57" i="9" s="1"/>
  <c r="Q49" i="9"/>
  <c r="S49" i="9" s="1"/>
  <c r="T49" i="9" s="1"/>
  <c r="Q46" i="9"/>
  <c r="S46" i="9" s="1"/>
  <c r="T46" i="9" s="1"/>
  <c r="Q43" i="9"/>
  <c r="S43" i="9" s="1"/>
  <c r="T43" i="9" s="1"/>
  <c r="Q37" i="9"/>
  <c r="S37" i="9" s="1"/>
  <c r="T37" i="9" s="1"/>
  <c r="Q32" i="9"/>
  <c r="S32" i="9" s="1"/>
  <c r="T32" i="9" s="1"/>
  <c r="Q30" i="9"/>
  <c r="S30" i="9" s="1"/>
  <c r="T30" i="9" s="1"/>
  <c r="Q130" i="9"/>
  <c r="S130" i="9" s="1"/>
  <c r="T130" i="9" s="1"/>
  <c r="Q121" i="9"/>
  <c r="S121" i="9" s="1"/>
  <c r="T121" i="9" s="1"/>
  <c r="Q113" i="9"/>
  <c r="S113" i="9" s="1"/>
  <c r="T113" i="9" s="1"/>
  <c r="Q95" i="9"/>
  <c r="S95" i="9" s="1"/>
  <c r="T95" i="9" s="1"/>
  <c r="Q87" i="9"/>
  <c r="S87" i="9" s="1"/>
  <c r="T87" i="9" s="1"/>
  <c r="Q79" i="9"/>
  <c r="S79" i="9" s="1"/>
  <c r="T79" i="9" s="1"/>
  <c r="Q68" i="9"/>
  <c r="S68" i="9" s="1"/>
  <c r="T68" i="9" s="1"/>
  <c r="Q61" i="9"/>
  <c r="S61" i="9" s="1"/>
  <c r="T61" i="9" s="1"/>
  <c r="Q56" i="9"/>
  <c r="S56" i="9" s="1"/>
  <c r="T56" i="9" s="1"/>
  <c r="Q42" i="9"/>
  <c r="S42" i="9" s="1"/>
  <c r="T42" i="9" s="1"/>
  <c r="Q38" i="9"/>
  <c r="S38" i="9" s="1"/>
  <c r="T38" i="9" s="1"/>
  <c r="Q136" i="9"/>
  <c r="S136" i="9" s="1"/>
  <c r="T136" i="9" s="1"/>
  <c r="Q126" i="9"/>
  <c r="S126" i="9" s="1"/>
  <c r="T126" i="9" s="1"/>
  <c r="Q120" i="9"/>
  <c r="S120" i="9" s="1"/>
  <c r="T120" i="9" s="1"/>
  <c r="Q112" i="9"/>
  <c r="S112" i="9" s="1"/>
  <c r="T112" i="9" s="1"/>
  <c r="Q94" i="9"/>
  <c r="S94" i="9" s="1"/>
  <c r="T94" i="9" s="1"/>
  <c r="Q81" i="9"/>
  <c r="S81" i="9" s="1"/>
  <c r="T81" i="9" s="1"/>
  <c r="Q70" i="9"/>
  <c r="S70" i="9" s="1"/>
  <c r="T70" i="9" s="1"/>
  <c r="Q58" i="9"/>
  <c r="S58" i="9" s="1"/>
  <c r="T58" i="9" s="1"/>
  <c r="Q44" i="9"/>
  <c r="S44" i="9" s="1"/>
  <c r="T44" i="9" s="1"/>
  <c r="Q33" i="9"/>
  <c r="S33" i="9" s="1"/>
  <c r="T33" i="9" s="1"/>
  <c r="Q135" i="9"/>
  <c r="S135" i="9" s="1"/>
  <c r="T135" i="9" s="1"/>
  <c r="Q134" i="9"/>
  <c r="S134" i="9" s="1"/>
  <c r="T134" i="9" s="1"/>
  <c r="Q131" i="9"/>
  <c r="S131" i="9" s="1"/>
  <c r="T131" i="9" s="1"/>
  <c r="Q128" i="9"/>
  <c r="S128" i="9" s="1"/>
  <c r="T128" i="9" s="1"/>
  <c r="Q124" i="9"/>
  <c r="S124" i="9" s="1"/>
  <c r="T124" i="9" s="1"/>
  <c r="Q119" i="9"/>
  <c r="S119" i="9" s="1"/>
  <c r="T119" i="9" s="1"/>
  <c r="Q116" i="9"/>
  <c r="S116" i="9" s="1"/>
  <c r="T116" i="9" s="1"/>
  <c r="Q108" i="9"/>
  <c r="S108" i="9" s="1"/>
  <c r="T108" i="9" s="1"/>
  <c r="Q100" i="9"/>
  <c r="S100" i="9" s="1"/>
  <c r="T100" i="9" s="1"/>
  <c r="Q93" i="9"/>
  <c r="S93" i="9" s="1"/>
  <c r="T93" i="9" s="1"/>
  <c r="Q85" i="9"/>
  <c r="S85" i="9" s="1"/>
  <c r="T85" i="9" s="1"/>
  <c r="Q82" i="9"/>
  <c r="S82" i="9" s="1"/>
  <c r="T82" i="9" s="1"/>
  <c r="Q77" i="9"/>
  <c r="S77" i="9" s="1"/>
  <c r="T77" i="9" s="1"/>
  <c r="Q71" i="9"/>
  <c r="S71" i="9" s="1"/>
  <c r="T71" i="9" s="1"/>
  <c r="Q62" i="9"/>
  <c r="S62" i="9" s="1"/>
  <c r="T62" i="9" s="1"/>
  <c r="Q59" i="9"/>
  <c r="S59" i="9" s="1"/>
  <c r="T59" i="9" s="1"/>
  <c r="Q54" i="9"/>
  <c r="S54" i="9" s="1"/>
  <c r="T54" i="9" s="1"/>
  <c r="Q45" i="9"/>
  <c r="S45" i="9" s="1"/>
  <c r="T45" i="9" s="1"/>
  <c r="Q39" i="9"/>
  <c r="S39" i="9" s="1"/>
  <c r="T39" i="9" s="1"/>
  <c r="Q36" i="9"/>
  <c r="S36" i="9" s="1"/>
  <c r="T36" i="9" s="1"/>
  <c r="T147" i="9" l="1"/>
  <c r="G22" i="10" s="1"/>
  <c r="I22" i="10" s="1"/>
  <c r="AE76" i="9"/>
  <c r="AG76" i="9" s="1"/>
  <c r="AH76" i="9" s="1"/>
  <c r="AE95" i="9"/>
  <c r="AG95" i="9" s="1"/>
  <c r="AH95" i="9" s="1"/>
  <c r="AE130" i="9"/>
  <c r="AG130" i="9" s="1"/>
  <c r="AH130" i="9" s="1"/>
  <c r="AE52" i="9"/>
  <c r="AG52" i="9" s="1"/>
  <c r="AH52" i="9" s="1"/>
  <c r="X52" i="9"/>
  <c r="Z52" i="9" s="1"/>
  <c r="AA52" i="9" s="1"/>
  <c r="AA147" i="9" s="1"/>
  <c r="G21" i="10" s="1"/>
  <c r="I21" i="10" s="1"/>
  <c r="AI100" i="12"/>
  <c r="AK100" i="12" s="1"/>
  <c r="AL100" i="12" s="1"/>
  <c r="AG89" i="9"/>
  <c r="AH89" i="9" s="1"/>
  <c r="AE62" i="9"/>
  <c r="AG62" i="9" s="1"/>
  <c r="AH62" i="9" s="1"/>
  <c r="AE39" i="9"/>
  <c r="AG39" i="9" s="1"/>
  <c r="AH39" i="9" s="1"/>
  <c r="AE138" i="9"/>
  <c r="AG138" i="9" s="1"/>
  <c r="AH138" i="9" s="1"/>
  <c r="AE84" i="9"/>
  <c r="AG84" i="9" s="1"/>
  <c r="AH84" i="9" s="1"/>
  <c r="AE120" i="9"/>
  <c r="AG120" i="9" s="1"/>
  <c r="AH120" i="9" s="1"/>
  <c r="AE92" i="9"/>
  <c r="AG92" i="9" s="1"/>
  <c r="AH92" i="9" s="1"/>
  <c r="AE99" i="9"/>
  <c r="AG99" i="9" s="1"/>
  <c r="AH99" i="9" s="1"/>
  <c r="AE129" i="9"/>
  <c r="AG129" i="9" s="1"/>
  <c r="AH129" i="9" s="1"/>
  <c r="AE98" i="9"/>
  <c r="AG98" i="9" s="1"/>
  <c r="AH98" i="9" s="1"/>
  <c r="AE61" i="9"/>
  <c r="AG61" i="9" s="1"/>
  <c r="AH61" i="9" s="1"/>
  <c r="AE122" i="9"/>
  <c r="AG122" i="9" s="1"/>
  <c r="AH122" i="9" s="1"/>
  <c r="AE31" i="9"/>
  <c r="AG31" i="9" s="1"/>
  <c r="AH31" i="9" s="1"/>
  <c r="AE63" i="9"/>
  <c r="AG63" i="9" s="1"/>
  <c r="AH63" i="9" s="1"/>
  <c r="AE113" i="9"/>
  <c r="AG113" i="9" s="1"/>
  <c r="AH113" i="9" s="1"/>
  <c r="AE69" i="9"/>
  <c r="AG69" i="9" s="1"/>
  <c r="AH69" i="9" s="1"/>
  <c r="AE37" i="9"/>
  <c r="AG37" i="9" s="1"/>
  <c r="AH37" i="9" s="1"/>
  <c r="AE87" i="9"/>
  <c r="AG87" i="9" s="1"/>
  <c r="AH87" i="9" s="1"/>
  <c r="AE114" i="9"/>
  <c r="AG114" i="9" s="1"/>
  <c r="AH114" i="9" s="1"/>
  <c r="AE80" i="9"/>
  <c r="AG80" i="9" s="1"/>
  <c r="AH80" i="9" s="1"/>
  <c r="AE55" i="9"/>
  <c r="AG55" i="9" s="1"/>
  <c r="AH55" i="9" s="1"/>
  <c r="AE78" i="9"/>
  <c r="AG78" i="9" s="1"/>
  <c r="AH78" i="9" s="1"/>
  <c r="AE137" i="9"/>
  <c r="AE54" i="9"/>
  <c r="AG54" i="9" s="1"/>
  <c r="AH54" i="9" s="1"/>
  <c r="AE124" i="9"/>
  <c r="AE46" i="9"/>
  <c r="AG46" i="9" s="1"/>
  <c r="AH46" i="9" s="1"/>
  <c r="AE91" i="9"/>
  <c r="AG91" i="9" s="1"/>
  <c r="AH91" i="9" s="1"/>
  <c r="AE85" i="9"/>
  <c r="AE112" i="9"/>
  <c r="AG112" i="9" s="1"/>
  <c r="AH112" i="9" s="1"/>
  <c r="AN112" i="9"/>
  <c r="AO112" i="9" s="1"/>
  <c r="AE128" i="9"/>
  <c r="AG128" i="9" s="1"/>
  <c r="AH128" i="9" s="1"/>
  <c r="AE44" i="9"/>
  <c r="AG44" i="9" s="1"/>
  <c r="AH44" i="9" s="1"/>
  <c r="AE58" i="9"/>
  <c r="AG58" i="9" s="1"/>
  <c r="AH58" i="9" s="1"/>
  <c r="AE32" i="9"/>
  <c r="AG32" i="9" s="1"/>
  <c r="AH32" i="9" s="1"/>
  <c r="AE68" i="9"/>
  <c r="AG68" i="9" s="1"/>
  <c r="AH68" i="9" s="1"/>
  <c r="AE82" i="9"/>
  <c r="AG82" i="9" s="1"/>
  <c r="AH82" i="9" s="1"/>
  <c r="AE43" i="9"/>
  <c r="AE36" i="9"/>
  <c r="AN136" i="9"/>
  <c r="AO136" i="9" s="1"/>
  <c r="AN100" i="9"/>
  <c r="AO100" i="9" s="1"/>
  <c r="AN94" i="9"/>
  <c r="AO94" i="9" s="1"/>
  <c r="AN81" i="9"/>
  <c r="AO81" i="9" s="1"/>
  <c r="AN77" i="9"/>
  <c r="AO77" i="9" s="1"/>
  <c r="AN70" i="9"/>
  <c r="AO70" i="9" s="1"/>
  <c r="AN41" i="9"/>
  <c r="AO41" i="9" s="1"/>
  <c r="AN133" i="9"/>
  <c r="AO133" i="9" s="1"/>
  <c r="AN125" i="9"/>
  <c r="AO125" i="9" s="1"/>
  <c r="AN121" i="9"/>
  <c r="AO121" i="9" s="1"/>
  <c r="AN108" i="9"/>
  <c r="AO108" i="9" s="1"/>
  <c r="AN57" i="9"/>
  <c r="AO57" i="9" s="1"/>
  <c r="AE86" i="9"/>
  <c r="AG86" i="9" s="1"/>
  <c r="AH86" i="9" s="1"/>
  <c r="AE119" i="9"/>
  <c r="AE33" i="9"/>
  <c r="AG33" i="9" s="1"/>
  <c r="AH33" i="9" s="1"/>
  <c r="AE93" i="9"/>
  <c r="AG93" i="9" s="1"/>
  <c r="AH93" i="9" s="1"/>
  <c r="AE118" i="9"/>
  <c r="AE134" i="9"/>
  <c r="AG134" i="9" s="1"/>
  <c r="AH134" i="9" s="1"/>
  <c r="AE56" i="9"/>
  <c r="AG56" i="9" s="1"/>
  <c r="AH56" i="9" s="1"/>
  <c r="AE59" i="9"/>
  <c r="AG59" i="9" s="1"/>
  <c r="AH59" i="9" s="1"/>
  <c r="AE71" i="9"/>
  <c r="AG71" i="9" s="1"/>
  <c r="AH71" i="9" s="1"/>
  <c r="AE135" i="9"/>
  <c r="AN126" i="9"/>
  <c r="AO126" i="9" s="1"/>
  <c r="AN118" i="9"/>
  <c r="AO118" i="9" s="1"/>
  <c r="AN103" i="9"/>
  <c r="AO103" i="9" s="1"/>
  <c r="AN83" i="9"/>
  <c r="AO83" i="9" s="1"/>
  <c r="AN79" i="9"/>
  <c r="AO79" i="9" s="1"/>
  <c r="AN72" i="9"/>
  <c r="AO72" i="9" s="1"/>
  <c r="AN60" i="9"/>
  <c r="AO60" i="9" s="1"/>
  <c r="AN56" i="9"/>
  <c r="AO56" i="9" s="1"/>
  <c r="AN49" i="9"/>
  <c r="AO49" i="9" s="1"/>
  <c r="AN45" i="9"/>
  <c r="AO45" i="9" s="1"/>
  <c r="AN48" i="9"/>
  <c r="AO48" i="9" s="1"/>
  <c r="AN139" i="9"/>
  <c r="AO139" i="9" s="1"/>
  <c r="AN131" i="9"/>
  <c r="AO131" i="9" s="1"/>
  <c r="AN127" i="9"/>
  <c r="AO127" i="9" s="1"/>
  <c r="AN123" i="9"/>
  <c r="AO123" i="9" s="1"/>
  <c r="AN117" i="9"/>
  <c r="AO117" i="9" s="1"/>
  <c r="AN102" i="9"/>
  <c r="AO102" i="9" s="1"/>
  <c r="AN88" i="9"/>
  <c r="AO88" i="9" s="1"/>
  <c r="AN71" i="9"/>
  <c r="AO71" i="9" s="1"/>
  <c r="AN50" i="9"/>
  <c r="AO50" i="9" s="1"/>
  <c r="AN42" i="9"/>
  <c r="AO42" i="9" s="1"/>
  <c r="AN37" i="9"/>
  <c r="AO37" i="9" s="1"/>
  <c r="AN132" i="9"/>
  <c r="AO132" i="9" s="1"/>
  <c r="AN99" i="9"/>
  <c r="AO99" i="9" s="1"/>
  <c r="AN39" i="9"/>
  <c r="AO39" i="9" s="1"/>
  <c r="AN38" i="9"/>
  <c r="AO38" i="9" s="1"/>
  <c r="AN134" i="9"/>
  <c r="AO134" i="9" s="1"/>
  <c r="AN92" i="9"/>
  <c r="AO92" i="9" s="1"/>
  <c r="AN82" i="9"/>
  <c r="AO82" i="9" s="1"/>
  <c r="AN59" i="9"/>
  <c r="AO59" i="9" s="1"/>
  <c r="AN115" i="9"/>
  <c r="AO115" i="9" s="1"/>
  <c r="AN69" i="9"/>
  <c r="AO69" i="9" s="1"/>
  <c r="AN31" i="9"/>
  <c r="AO31" i="9" s="1"/>
  <c r="AN91" i="9"/>
  <c r="AO91" i="9" s="1"/>
  <c r="AN58" i="9"/>
  <c r="AO58" i="9" s="1"/>
  <c r="AN80" i="9"/>
  <c r="AO80" i="9" s="1"/>
  <c r="AN46" i="9"/>
  <c r="AO46" i="9" s="1"/>
  <c r="AN124" i="9"/>
  <c r="AO124" i="9" s="1"/>
  <c r="AN47" i="9"/>
  <c r="AO47" i="9" s="1"/>
  <c r="AI98" i="12"/>
  <c r="AK98" i="12" s="1"/>
  <c r="AL98" i="12" s="1"/>
  <c r="U22" i="12"/>
  <c r="W22" i="12" s="1"/>
  <c r="X22" i="12" s="1"/>
  <c r="X109" i="12" s="1"/>
  <c r="AE109" i="12"/>
  <c r="AG70" i="9"/>
  <c r="AH70" i="9" s="1"/>
  <c r="AG81" i="9"/>
  <c r="AH81" i="9" s="1"/>
  <c r="AG127" i="9"/>
  <c r="AH127" i="9" s="1"/>
  <c r="AG100" i="9"/>
  <c r="AH100" i="9" s="1"/>
  <c r="AG77" i="9"/>
  <c r="AH77" i="9" s="1"/>
  <c r="AG133" i="9"/>
  <c r="AH133" i="9" s="1"/>
  <c r="AG121" i="9"/>
  <c r="AH121" i="9" s="1"/>
  <c r="AG49" i="9"/>
  <c r="AH49" i="9" s="1"/>
  <c r="AG136" i="9"/>
  <c r="AH136" i="9" s="1"/>
  <c r="AG116" i="9"/>
  <c r="AH116" i="9" s="1"/>
  <c r="AG94" i="9"/>
  <c r="AH94" i="9" s="1"/>
  <c r="AG123" i="9"/>
  <c r="AH123" i="9" s="1"/>
  <c r="AG79" i="9"/>
  <c r="AH79" i="9" s="1"/>
  <c r="AG45" i="9"/>
  <c r="AH45" i="9" s="1"/>
  <c r="AG117" i="9"/>
  <c r="AH117" i="9" s="1"/>
  <c r="AG139" i="9"/>
  <c r="AH139" i="9" s="1"/>
  <c r="AG125" i="9"/>
  <c r="AH125" i="9" s="1"/>
  <c r="AG41" i="9"/>
  <c r="AH41" i="9" s="1"/>
  <c r="AE132" i="9"/>
  <c r="AG132" i="9" s="1"/>
  <c r="AH132" i="9" s="1"/>
  <c r="AE115" i="9"/>
  <c r="AG115" i="9" s="1"/>
  <c r="AH115" i="9" s="1"/>
  <c r="AN116" i="9"/>
  <c r="AO116" i="9" s="1"/>
  <c r="AE47" i="9"/>
  <c r="AE72" i="9"/>
  <c r="AE131" i="9"/>
  <c r="AE38" i="9"/>
  <c r="AE83" i="9"/>
  <c r="AG108" i="9"/>
  <c r="AH108" i="9" s="1"/>
  <c r="AG102" i="9"/>
  <c r="AH102" i="9" s="1"/>
  <c r="AG103" i="9"/>
  <c r="AH103" i="9" s="1"/>
  <c r="AG126" i="9"/>
  <c r="AH126" i="9" s="1"/>
  <c r="AG42" i="9"/>
  <c r="AH42" i="9" s="1"/>
  <c r="AG30" i="9"/>
  <c r="AH30" i="9" s="1"/>
  <c r="AG57" i="9"/>
  <c r="AH57" i="9" s="1"/>
  <c r="AG50" i="9"/>
  <c r="AH50" i="9" s="1"/>
  <c r="AG60" i="9"/>
  <c r="AH60" i="9" s="1"/>
  <c r="AG48" i="9"/>
  <c r="AH48" i="9" s="1"/>
  <c r="AG88" i="9"/>
  <c r="AH88" i="9" s="1"/>
  <c r="AO147" i="9" l="1"/>
  <c r="G19" i="10" s="1"/>
  <c r="AL109" i="12"/>
  <c r="AG118" i="9"/>
  <c r="AH118" i="9" s="1"/>
  <c r="AG124" i="9"/>
  <c r="AH124" i="9" s="1"/>
  <c r="AG85" i="9"/>
  <c r="AH85" i="9" s="1"/>
  <c r="AG137" i="9"/>
  <c r="AH137" i="9" s="1"/>
  <c r="AG119" i="9"/>
  <c r="AH119" i="9" s="1"/>
  <c r="AG36" i="9"/>
  <c r="AH36" i="9" s="1"/>
  <c r="AG135" i="9"/>
  <c r="AH135" i="9" s="1"/>
  <c r="AG43" i="9"/>
  <c r="AH43" i="9" s="1"/>
  <c r="AG38" i="9"/>
  <c r="AH38" i="9" s="1"/>
  <c r="AG47" i="9"/>
  <c r="AH47" i="9" s="1"/>
  <c r="AG131" i="9"/>
  <c r="AH131" i="9" s="1"/>
  <c r="AG83" i="9"/>
  <c r="AH83" i="9" s="1"/>
  <c r="AG72" i="9"/>
  <c r="AH72" i="9" s="1"/>
  <c r="I19" i="10" l="1"/>
  <c r="AH147" i="9"/>
  <c r="G20" i="10" s="1"/>
  <c r="I20" i="10" s="1"/>
  <c r="N10" i="12" l="1"/>
  <c r="P10" i="12" s="1"/>
  <c r="Q10" i="12" s="1"/>
  <c r="AM10" i="12" s="1"/>
  <c r="N11" i="12"/>
  <c r="P11" i="12" s="1"/>
  <c r="Q11" i="12" s="1"/>
  <c r="AM11" i="12" s="1"/>
  <c r="N12" i="12"/>
  <c r="P12" i="12" s="1"/>
  <c r="Q12" i="12" s="1"/>
  <c r="AM12" i="12" s="1"/>
  <c r="N13" i="12"/>
  <c r="P13" i="12" s="1"/>
  <c r="Q13" i="12" s="1"/>
  <c r="AM13" i="12" s="1"/>
  <c r="N14" i="12"/>
  <c r="P14" i="12" s="1"/>
  <c r="Q14" i="12" s="1"/>
  <c r="AM14" i="12" s="1"/>
  <c r="N15" i="12"/>
  <c r="P15" i="12" s="1"/>
  <c r="Q15" i="12" s="1"/>
  <c r="AM15" i="12" s="1"/>
  <c r="N16" i="12"/>
  <c r="P16" i="12" s="1"/>
  <c r="Q16" i="12" s="1"/>
  <c r="AM16" i="12" s="1"/>
  <c r="N17" i="12"/>
  <c r="P17" i="12" s="1"/>
  <c r="Q17" i="12" s="1"/>
  <c r="AM17" i="12" s="1"/>
  <c r="N18" i="12"/>
  <c r="P18" i="12" s="1"/>
  <c r="Q18" i="12" s="1"/>
  <c r="AM18" i="12" s="1"/>
  <c r="N19" i="12"/>
  <c r="P19" i="12" s="1"/>
  <c r="Q19" i="12" s="1"/>
  <c r="AM19" i="12" s="1"/>
  <c r="N20" i="12"/>
  <c r="P20" i="12" s="1"/>
  <c r="Q20" i="12" s="1"/>
  <c r="AM20" i="12" s="1"/>
  <c r="N21" i="12"/>
  <c r="P21" i="12" s="1"/>
  <c r="Q21" i="12" s="1"/>
  <c r="AM21" i="12" s="1"/>
  <c r="N22" i="12"/>
  <c r="P22" i="12" s="1"/>
  <c r="Q22" i="12" s="1"/>
  <c r="N9" i="12"/>
  <c r="P9" i="12" s="1"/>
  <c r="Q9" i="12" s="1"/>
  <c r="AM9" i="12" s="1"/>
  <c r="AM22" i="12" l="1"/>
  <c r="N108" i="12" l="1"/>
  <c r="P108" i="12" s="1"/>
  <c r="Q108" i="12" s="1"/>
  <c r="AM108" i="12" s="1"/>
  <c r="N107" i="12"/>
  <c r="P107" i="12" s="1"/>
  <c r="Q107" i="12" s="1"/>
  <c r="AM107" i="12" s="1"/>
  <c r="N106" i="12"/>
  <c r="P106" i="12" s="1"/>
  <c r="Q106" i="12" s="1"/>
  <c r="AM106" i="12" s="1"/>
  <c r="N104" i="12"/>
  <c r="P104" i="12" s="1"/>
  <c r="Q104" i="12" s="1"/>
  <c r="AM104" i="12" s="1"/>
  <c r="N103" i="12"/>
  <c r="P103" i="12" s="1"/>
  <c r="Q103" i="12" s="1"/>
  <c r="AM103" i="12" s="1"/>
  <c r="N102" i="12"/>
  <c r="P102" i="12" s="1"/>
  <c r="Q102" i="12" s="1"/>
  <c r="AM102" i="12" s="1"/>
  <c r="N100" i="12"/>
  <c r="P100" i="12" s="1"/>
  <c r="Q100" i="12" s="1"/>
  <c r="AM100" i="12" s="1"/>
  <c r="N99" i="12"/>
  <c r="P99" i="12" s="1"/>
  <c r="Q99" i="12" s="1"/>
  <c r="AM99" i="12" s="1"/>
  <c r="N98" i="12"/>
  <c r="P98" i="12" s="1"/>
  <c r="Q98" i="12" s="1"/>
  <c r="AM98" i="12" s="1"/>
  <c r="N96" i="12"/>
  <c r="P96" i="12" s="1"/>
  <c r="Q96" i="12" s="1"/>
  <c r="AM96" i="12" s="1"/>
  <c r="N95" i="12"/>
  <c r="P95" i="12" s="1"/>
  <c r="Q95" i="12" s="1"/>
  <c r="AM95" i="12" s="1"/>
  <c r="N94" i="12"/>
  <c r="P94" i="12" s="1"/>
  <c r="Q94" i="12" s="1"/>
  <c r="AM94" i="12" s="1"/>
  <c r="N93" i="12"/>
  <c r="P93" i="12" s="1"/>
  <c r="Q93" i="12" s="1"/>
  <c r="AM93" i="12" s="1"/>
  <c r="N92" i="12"/>
  <c r="P92" i="12" s="1"/>
  <c r="Q92" i="12" s="1"/>
  <c r="AM92" i="12" s="1"/>
  <c r="N91" i="12"/>
  <c r="P91" i="12" s="1"/>
  <c r="Q91" i="12" s="1"/>
  <c r="AM91" i="12" s="1"/>
  <c r="N89" i="12"/>
  <c r="P89" i="12" s="1"/>
  <c r="Q89" i="12" s="1"/>
  <c r="AM89" i="12" s="1"/>
  <c r="N88" i="12"/>
  <c r="P88" i="12" s="1"/>
  <c r="Q88" i="12" s="1"/>
  <c r="AM88" i="12" s="1"/>
  <c r="N87" i="12"/>
  <c r="P87" i="12" s="1"/>
  <c r="Q87" i="12" s="1"/>
  <c r="AM87" i="12" s="1"/>
  <c r="N85" i="12"/>
  <c r="P85" i="12" s="1"/>
  <c r="Q85" i="12" s="1"/>
  <c r="AM85" i="12" s="1"/>
  <c r="N84" i="12"/>
  <c r="P84" i="12" s="1"/>
  <c r="Q84" i="12" s="1"/>
  <c r="AM84" i="12" s="1"/>
  <c r="N83" i="12"/>
  <c r="P83" i="12" s="1"/>
  <c r="Q83" i="12" s="1"/>
  <c r="AM83" i="12" s="1"/>
  <c r="N82" i="12"/>
  <c r="P82" i="12" s="1"/>
  <c r="Q82" i="12" s="1"/>
  <c r="AM82" i="12" s="1"/>
  <c r="N80" i="12"/>
  <c r="P80" i="12" s="1"/>
  <c r="Q80" i="12" s="1"/>
  <c r="AM80" i="12" s="1"/>
  <c r="N79" i="12"/>
  <c r="P79" i="12" s="1"/>
  <c r="Q79" i="12" s="1"/>
  <c r="AM79" i="12" s="1"/>
  <c r="N78" i="12"/>
  <c r="P78" i="12" s="1"/>
  <c r="Q78" i="12" s="1"/>
  <c r="AM78" i="12" s="1"/>
  <c r="N76" i="12"/>
  <c r="P76" i="12" s="1"/>
  <c r="Q76" i="12" s="1"/>
  <c r="AM76" i="12" s="1"/>
  <c r="N75" i="12"/>
  <c r="P75" i="12" s="1"/>
  <c r="Q75" i="12" s="1"/>
  <c r="AM75" i="12" s="1"/>
  <c r="N74" i="12"/>
  <c r="P74" i="12" s="1"/>
  <c r="Q74" i="12" s="1"/>
  <c r="AM74" i="12" s="1"/>
  <c r="N72" i="12"/>
  <c r="P72" i="12" s="1"/>
  <c r="Q72" i="12" s="1"/>
  <c r="AM72" i="12" s="1"/>
  <c r="N71" i="12"/>
  <c r="P71" i="12" s="1"/>
  <c r="Q71" i="12" s="1"/>
  <c r="AM71" i="12" s="1"/>
  <c r="N70" i="12"/>
  <c r="P70" i="12" s="1"/>
  <c r="Q70" i="12" s="1"/>
  <c r="AM70" i="12" s="1"/>
  <c r="N69" i="12"/>
  <c r="N68" i="12"/>
  <c r="P68" i="12" s="1"/>
  <c r="Q68" i="12" s="1"/>
  <c r="AM68" i="12" s="1"/>
  <c r="N67" i="12"/>
  <c r="P67" i="12" s="1"/>
  <c r="Q67" i="12" s="1"/>
  <c r="AM67" i="12" s="1"/>
  <c r="N65" i="12"/>
  <c r="P65" i="12" s="1"/>
  <c r="Q65" i="12" s="1"/>
  <c r="AM65" i="12" s="1"/>
  <c r="N64" i="12"/>
  <c r="P64" i="12" s="1"/>
  <c r="Q64" i="12" s="1"/>
  <c r="AM64" i="12" s="1"/>
  <c r="N63" i="12"/>
  <c r="P63" i="12" s="1"/>
  <c r="Q63" i="12" s="1"/>
  <c r="AM63" i="12" s="1"/>
  <c r="N62" i="12"/>
  <c r="P62" i="12" s="1"/>
  <c r="Q62" i="12" s="1"/>
  <c r="AM62" i="12" s="1"/>
  <c r="N61" i="12"/>
  <c r="P61" i="12" s="1"/>
  <c r="Q61" i="12" s="1"/>
  <c r="AM61" i="12" s="1"/>
  <c r="N60" i="12"/>
  <c r="P60" i="12" s="1"/>
  <c r="Q60" i="12" s="1"/>
  <c r="AM60" i="12" s="1"/>
  <c r="N58" i="12"/>
  <c r="P58" i="12" s="1"/>
  <c r="Q58" i="12" s="1"/>
  <c r="AM58" i="12" s="1"/>
  <c r="N57" i="12"/>
  <c r="P57" i="12" s="1"/>
  <c r="Q57" i="12" s="1"/>
  <c r="AM57" i="12" s="1"/>
  <c r="N56" i="12"/>
  <c r="P56" i="12" s="1"/>
  <c r="Q56" i="12" s="1"/>
  <c r="AM56" i="12" s="1"/>
  <c r="N54" i="12"/>
  <c r="P54" i="12" s="1"/>
  <c r="Q54" i="12" s="1"/>
  <c r="AM54" i="12" s="1"/>
  <c r="N53" i="12"/>
  <c r="P53" i="12" s="1"/>
  <c r="Q53" i="12" s="1"/>
  <c r="AM53" i="12" s="1"/>
  <c r="N52" i="12"/>
  <c r="P52" i="12" s="1"/>
  <c r="Q52" i="12" s="1"/>
  <c r="AM52" i="12" s="1"/>
  <c r="N51" i="12"/>
  <c r="P51" i="12" s="1"/>
  <c r="Q51" i="12" s="1"/>
  <c r="AM51" i="12" s="1"/>
  <c r="N49" i="12"/>
  <c r="P49" i="12" s="1"/>
  <c r="Q49" i="12" s="1"/>
  <c r="AM49" i="12" s="1"/>
  <c r="N48" i="12"/>
  <c r="P48" i="12" s="1"/>
  <c r="Q48" i="12" s="1"/>
  <c r="AM48" i="12" s="1"/>
  <c r="N47" i="12"/>
  <c r="P47" i="12" s="1"/>
  <c r="Q47" i="12" s="1"/>
  <c r="AM47" i="12" s="1"/>
  <c r="N45" i="12"/>
  <c r="P45" i="12" s="1"/>
  <c r="Q45" i="12" s="1"/>
  <c r="AM45" i="12" s="1"/>
  <c r="N44" i="12"/>
  <c r="P44" i="12" s="1"/>
  <c r="Q44" i="12" s="1"/>
  <c r="AM44" i="12" s="1"/>
  <c r="N43" i="12"/>
  <c r="P43" i="12" s="1"/>
  <c r="Q43" i="12" s="1"/>
  <c r="AM43" i="12" s="1"/>
  <c r="N41" i="12"/>
  <c r="P41" i="12" s="1"/>
  <c r="Q41" i="12" s="1"/>
  <c r="AM41" i="12" s="1"/>
  <c r="N40" i="12"/>
  <c r="P40" i="12" s="1"/>
  <c r="Q40" i="12" s="1"/>
  <c r="AM40" i="12" s="1"/>
  <c r="N38" i="12"/>
  <c r="P38" i="12" s="1"/>
  <c r="Q38" i="12" s="1"/>
  <c r="AM38" i="12" s="1"/>
  <c r="N37" i="12"/>
  <c r="P37" i="12" s="1"/>
  <c r="Q37" i="12" s="1"/>
  <c r="AM37" i="12" s="1"/>
  <c r="N35" i="12"/>
  <c r="P35" i="12" s="1"/>
  <c r="Q35" i="12" s="1"/>
  <c r="AM35" i="12" s="1"/>
  <c r="N34" i="12"/>
  <c r="P34" i="12" s="1"/>
  <c r="Q34" i="12" s="1"/>
  <c r="AM34" i="12" s="1"/>
  <c r="N31" i="12"/>
  <c r="P31" i="12" s="1"/>
  <c r="Q31" i="12" s="1"/>
  <c r="AM31" i="12" s="1"/>
  <c r="N30" i="12"/>
  <c r="P30" i="12" s="1"/>
  <c r="Q30" i="12" s="1"/>
  <c r="AM30" i="12" s="1"/>
  <c r="N29" i="12"/>
  <c r="P29" i="12" s="1"/>
  <c r="Q29" i="12" s="1"/>
  <c r="AM29" i="12" s="1"/>
  <c r="N27" i="12"/>
  <c r="P27" i="12" s="1"/>
  <c r="Q27" i="12" s="1"/>
  <c r="AM27" i="12" s="1"/>
  <c r="N26" i="12"/>
  <c r="P26" i="12" s="1"/>
  <c r="Q26" i="12" s="1"/>
  <c r="AM26" i="12" s="1"/>
  <c r="N25" i="12"/>
  <c r="P25" i="12" s="1"/>
  <c r="Q25" i="12" s="1"/>
  <c r="AM25" i="12" s="1"/>
  <c r="N24" i="12"/>
  <c r="P24" i="12" s="1"/>
  <c r="Q24" i="12" s="1"/>
  <c r="AM24" i="12" s="1"/>
  <c r="N23" i="12"/>
  <c r="P23" i="12" s="1"/>
  <c r="Q23" i="12" s="1"/>
  <c r="AM23" i="12" l="1"/>
  <c r="N28" i="12"/>
  <c r="P28" i="12" s="1"/>
  <c r="Q28" i="12" s="1"/>
  <c r="AM28" i="12" s="1"/>
  <c r="N33" i="12"/>
  <c r="P33" i="12" s="1"/>
  <c r="Q33" i="12" s="1"/>
  <c r="AM33" i="12" s="1"/>
  <c r="N39" i="12"/>
  <c r="P39" i="12" s="1"/>
  <c r="Q39" i="12" s="1"/>
  <c r="AM39" i="12" s="1"/>
  <c r="N55" i="12"/>
  <c r="P55" i="12" s="1"/>
  <c r="Q55" i="12" s="1"/>
  <c r="AM55" i="12" s="1"/>
  <c r="N59" i="12"/>
  <c r="P59" i="12" s="1"/>
  <c r="Q59" i="12" s="1"/>
  <c r="AM59" i="12" s="1"/>
  <c r="N73" i="12"/>
  <c r="P73" i="12" s="1"/>
  <c r="Q73" i="12" s="1"/>
  <c r="AM73" i="12" s="1"/>
  <c r="N77" i="12"/>
  <c r="P77" i="12" s="1"/>
  <c r="Q77" i="12" s="1"/>
  <c r="AM77" i="12" s="1"/>
  <c r="N86" i="12"/>
  <c r="P86" i="12" s="1"/>
  <c r="Q86" i="12" s="1"/>
  <c r="AM86" i="12" s="1"/>
  <c r="N90" i="12"/>
  <c r="P90" i="12" s="1"/>
  <c r="Q90" i="12" s="1"/>
  <c r="AM90" i="12" s="1"/>
  <c r="N101" i="12"/>
  <c r="P101" i="12" s="1"/>
  <c r="Q101" i="12" s="1"/>
  <c r="AM101" i="12" s="1"/>
  <c r="N105" i="12"/>
  <c r="P105" i="12" s="1"/>
  <c r="Q105" i="12" s="1"/>
  <c r="AM105" i="12" s="1"/>
  <c r="N32" i="12"/>
  <c r="P32" i="12" s="1"/>
  <c r="Q32" i="12" s="1"/>
  <c r="AM32" i="12" s="1"/>
  <c r="N66" i="12"/>
  <c r="P66" i="12" s="1"/>
  <c r="Q66" i="12" s="1"/>
  <c r="AM66" i="12" s="1"/>
  <c r="N97" i="12"/>
  <c r="P97" i="12" s="1"/>
  <c r="Q97" i="12" s="1"/>
  <c r="AM97" i="12" s="1"/>
  <c r="N36" i="12"/>
  <c r="P36" i="12" s="1"/>
  <c r="Q36" i="12" s="1"/>
  <c r="AM36" i="12" s="1"/>
  <c r="N42" i="12"/>
  <c r="P42" i="12" s="1"/>
  <c r="Q42" i="12" s="1"/>
  <c r="AM42" i="12" s="1"/>
  <c r="N46" i="12"/>
  <c r="P46" i="12" s="1"/>
  <c r="Q46" i="12" s="1"/>
  <c r="AM46" i="12" s="1"/>
  <c r="N50" i="12"/>
  <c r="P50" i="12" s="1"/>
  <c r="Q50" i="12" s="1"/>
  <c r="AM50" i="12" s="1"/>
  <c r="N81" i="12"/>
  <c r="P81" i="12" s="1"/>
  <c r="Q81" i="12" s="1"/>
  <c r="AM81" i="12" s="1"/>
  <c r="AM109" i="12" l="1"/>
  <c r="Q109" i="12"/>
  <c r="G12" i="10" l="1"/>
  <c r="H12" i="10" s="1"/>
  <c r="G11" i="10"/>
  <c r="H11" i="10" s="1"/>
  <c r="G10" i="10"/>
  <c r="H10" i="10" s="1"/>
  <c r="G9" i="10"/>
  <c r="H9" i="10" s="1"/>
  <c r="G8" i="10"/>
  <c r="G13" i="10" l="1"/>
  <c r="H8" i="10"/>
  <c r="H13" i="10" s="1"/>
  <c r="H44" i="10" s="1"/>
  <c r="E13" i="10"/>
  <c r="H49" i="10" l="1"/>
  <c r="H38" i="10"/>
  <c r="H47" i="10"/>
  <c r="H45" i="10"/>
  <c r="H48" i="10"/>
  <c r="H36" i="10"/>
  <c r="H43" i="10"/>
  <c r="H50" i="10"/>
  <c r="H37" i="10"/>
  <c r="H33" i="10"/>
  <c r="H42" i="10"/>
  <c r="H35" i="10"/>
  <c r="H34" i="10"/>
  <c r="H41" i="10"/>
  <c r="H51" i="10"/>
  <c r="B26" i="14" s="1"/>
  <c r="H40" i="10"/>
  <c r="H31" i="10"/>
  <c r="H32" i="10"/>
  <c r="H46" i="10"/>
  <c r="H39" i="10"/>
  <c r="G51" i="10"/>
  <c r="G31" i="10"/>
  <c r="G36" i="10"/>
  <c r="G44" i="10"/>
  <c r="G39" i="10"/>
  <c r="G47" i="10"/>
  <c r="G32" i="10"/>
  <c r="G40" i="10"/>
  <c r="G43" i="10"/>
  <c r="G37" i="10"/>
  <c r="G45" i="10"/>
  <c r="G46" i="10"/>
  <c r="G33" i="10"/>
  <c r="G49" i="10"/>
  <c r="G42" i="10"/>
  <c r="G38" i="10"/>
  <c r="G48" i="10"/>
  <c r="G41" i="10"/>
  <c r="G34" i="10"/>
  <c r="G50" i="10"/>
  <c r="G35" i="10"/>
  <c r="E51" i="10"/>
  <c r="E31" i="10"/>
  <c r="E34" i="10"/>
  <c r="E38" i="10"/>
  <c r="E42" i="10"/>
  <c r="E46" i="10"/>
  <c r="E50" i="10"/>
  <c r="E35" i="10"/>
  <c r="E43" i="10"/>
  <c r="E32" i="10"/>
  <c r="E37" i="10"/>
  <c r="E45" i="10"/>
  <c r="E39" i="10"/>
  <c r="E47" i="10"/>
  <c r="E36" i="10"/>
  <c r="E40" i="10"/>
  <c r="E44" i="10"/>
  <c r="E48" i="10"/>
  <c r="E33" i="10"/>
  <c r="E41" i="10"/>
  <c r="E49" i="10"/>
  <c r="F13" i="10"/>
  <c r="F14" i="10" s="1"/>
  <c r="J9" i="9"/>
  <c r="L9" i="9" s="1"/>
  <c r="M9" i="9" s="1"/>
  <c r="B6" i="14" l="1"/>
  <c r="H53" i="10"/>
  <c r="H52" i="10"/>
  <c r="F51" i="10"/>
  <c r="F31" i="10"/>
  <c r="F33" i="10"/>
  <c r="F41" i="10"/>
  <c r="F49" i="10"/>
  <c r="F34" i="10"/>
  <c r="F42" i="10"/>
  <c r="F50" i="10"/>
  <c r="F35" i="10"/>
  <c r="F43" i="10"/>
  <c r="F36" i="10"/>
  <c r="F44" i="10"/>
  <c r="F37" i="10"/>
  <c r="F45" i="10"/>
  <c r="F38" i="10"/>
  <c r="F46" i="10"/>
  <c r="F39" i="10"/>
  <c r="F47" i="10"/>
  <c r="F32" i="10"/>
  <c r="F40" i="10"/>
  <c r="F48" i="10"/>
  <c r="B11" i="14"/>
  <c r="B19" i="14"/>
  <c r="B22" i="14"/>
  <c r="B15" i="14"/>
  <c r="B16" i="14"/>
  <c r="B9" i="14"/>
  <c r="B25" i="14"/>
  <c r="B12" i="14"/>
  <c r="B20" i="14"/>
  <c r="B7" i="14"/>
  <c r="B23" i="14"/>
  <c r="B8" i="14"/>
  <c r="B24" i="14"/>
  <c r="B17" i="14"/>
  <c r="B13" i="14"/>
  <c r="B21" i="14"/>
  <c r="B14" i="14"/>
  <c r="B10" i="14"/>
  <c r="B18" i="14"/>
  <c r="M147" i="9"/>
  <c r="G23" i="10" s="1"/>
  <c r="I23" i="10" l="1"/>
  <c r="I24" i="10" s="1"/>
  <c r="G24" i="10"/>
  <c r="B27" i="14"/>
  <c r="E24" i="10"/>
  <c r="O32" i="10" l="1"/>
  <c r="B11" i="30" s="1"/>
  <c r="E11" i="30" s="1"/>
  <c r="O45" i="10"/>
  <c r="B24" i="30" s="1"/>
  <c r="E24" i="30" s="1"/>
  <c r="O42" i="10"/>
  <c r="B21" i="30" s="1"/>
  <c r="E21" i="30" s="1"/>
  <c r="O38" i="10"/>
  <c r="B17" i="30" s="1"/>
  <c r="E17" i="30" s="1"/>
  <c r="O33" i="10"/>
  <c r="B12" i="30" s="1"/>
  <c r="E12" i="30" s="1"/>
  <c r="O50" i="10"/>
  <c r="B29" i="30" s="1"/>
  <c r="E29" i="30" s="1"/>
  <c r="O46" i="10"/>
  <c r="B25" i="30" s="1"/>
  <c r="E25" i="30" s="1"/>
  <c r="O47" i="10"/>
  <c r="B26" i="30" s="1"/>
  <c r="E26" i="30" s="1"/>
  <c r="O35" i="10"/>
  <c r="B14" i="30" s="1"/>
  <c r="E14" i="30" s="1"/>
  <c r="O43" i="10"/>
  <c r="B22" i="30" s="1"/>
  <c r="E22" i="30" s="1"/>
  <c r="O34" i="10"/>
  <c r="B13" i="30" s="1"/>
  <c r="E13" i="30" s="1"/>
  <c r="O49" i="10"/>
  <c r="B28" i="30" s="1"/>
  <c r="E28" i="30" s="1"/>
  <c r="O39" i="10"/>
  <c r="B18" i="30" s="1"/>
  <c r="E18" i="30" s="1"/>
  <c r="O51" i="10"/>
  <c r="O37" i="10"/>
  <c r="B16" i="30" s="1"/>
  <c r="E16" i="30" s="1"/>
  <c r="O44" i="10"/>
  <c r="B23" i="30" s="1"/>
  <c r="E23" i="30" s="1"/>
  <c r="O31" i="10"/>
  <c r="O41" i="10"/>
  <c r="B20" i="30" s="1"/>
  <c r="E20" i="30" s="1"/>
  <c r="O40" i="10"/>
  <c r="B19" i="30" s="1"/>
  <c r="E19" i="30" s="1"/>
  <c r="O36" i="10"/>
  <c r="B15" i="30" s="1"/>
  <c r="E15" i="30" s="1"/>
  <c r="O48" i="10"/>
  <c r="B27" i="30" s="1"/>
  <c r="E27" i="30" s="1"/>
  <c r="Q36" i="10"/>
  <c r="C11" i="14" s="1"/>
  <c r="Q40" i="10"/>
  <c r="C15" i="14" s="1"/>
  <c r="Q33" i="10"/>
  <c r="C8" i="14" s="1"/>
  <c r="E8" i="14" s="1"/>
  <c r="Q44" i="10"/>
  <c r="C19" i="14" s="1"/>
  <c r="Q49" i="10"/>
  <c r="C24" i="14" s="1"/>
  <c r="Q46" i="10"/>
  <c r="C21" i="14" s="1"/>
  <c r="Q47" i="10"/>
  <c r="C22" i="14" s="1"/>
  <c r="Q34" i="10"/>
  <c r="C9" i="14" s="1"/>
  <c r="Q31" i="10"/>
  <c r="R31" i="10" s="1"/>
  <c r="Q42" i="10"/>
  <c r="C17" i="14" s="1"/>
  <c r="Q45" i="10"/>
  <c r="C20" i="14" s="1"/>
  <c r="Q51" i="10"/>
  <c r="Q32" i="10"/>
  <c r="C7" i="14" s="1"/>
  <c r="Q48" i="10"/>
  <c r="C23" i="14" s="1"/>
  <c r="Q37" i="10"/>
  <c r="C12" i="14" s="1"/>
  <c r="Q35" i="10"/>
  <c r="C10" i="14" s="1"/>
  <c r="Q50" i="10"/>
  <c r="C25" i="14" s="1"/>
  <c r="Q38" i="10"/>
  <c r="C13" i="14" s="1"/>
  <c r="Q41" i="10"/>
  <c r="C16" i="14" s="1"/>
  <c r="Q43" i="10"/>
  <c r="C18" i="14" s="1"/>
  <c r="Q39" i="10"/>
  <c r="C14" i="14" s="1"/>
  <c r="L31" i="10"/>
  <c r="L51" i="10"/>
  <c r="L33" i="10"/>
  <c r="L37" i="10"/>
  <c r="L41" i="10"/>
  <c r="L45" i="10"/>
  <c r="L49" i="10"/>
  <c r="L38" i="10"/>
  <c r="L46" i="10"/>
  <c r="L39" i="10"/>
  <c r="L44" i="10"/>
  <c r="L34" i="10"/>
  <c r="L42" i="10"/>
  <c r="L50" i="10"/>
  <c r="L35" i="10"/>
  <c r="L43" i="10"/>
  <c r="L47" i="10"/>
  <c r="L32" i="10"/>
  <c r="L36" i="10"/>
  <c r="L40" i="10"/>
  <c r="L48" i="10"/>
  <c r="E7" i="15"/>
  <c r="E20" i="15"/>
  <c r="E10" i="15"/>
  <c r="E18" i="15"/>
  <c r="E16" i="15" l="1"/>
  <c r="E9" i="15"/>
  <c r="E17" i="15"/>
  <c r="E24" i="15"/>
  <c r="E14" i="15"/>
  <c r="D25" i="30"/>
  <c r="F21" i="14" s="1"/>
  <c r="D28" i="30"/>
  <c r="F24" i="14" s="1"/>
  <c r="D17" i="30"/>
  <c r="F13" i="14" s="1"/>
  <c r="D23" i="30"/>
  <c r="F19" i="14" s="1"/>
  <c r="D16" i="30"/>
  <c r="F12" i="14" s="1"/>
  <c r="D18" i="30"/>
  <c r="F14" i="14" s="1"/>
  <c r="D19" i="30"/>
  <c r="F15" i="14" s="1"/>
  <c r="D13" i="30"/>
  <c r="F9" i="14" s="1"/>
  <c r="D21" i="30"/>
  <c r="F17" i="14" s="1"/>
  <c r="D29" i="30"/>
  <c r="F25" i="14" s="1"/>
  <c r="D12" i="30"/>
  <c r="F8" i="14" s="1"/>
  <c r="D20" i="30"/>
  <c r="F16" i="14" s="1"/>
  <c r="D22" i="30"/>
  <c r="F18" i="14" s="1"/>
  <c r="D24" i="30"/>
  <c r="F20" i="14" s="1"/>
  <c r="D26" i="30"/>
  <c r="F22" i="14" s="1"/>
  <c r="D27" i="30"/>
  <c r="F23" i="14" s="1"/>
  <c r="D15" i="30"/>
  <c r="F11" i="14" s="1"/>
  <c r="D14" i="30"/>
  <c r="F10" i="14" s="1"/>
  <c r="D11" i="30"/>
  <c r="F7" i="14" s="1"/>
  <c r="E12" i="15"/>
  <c r="E11" i="15"/>
  <c r="E22" i="15"/>
  <c r="E8" i="15"/>
  <c r="E19" i="15"/>
  <c r="E23" i="15"/>
  <c r="Q52" i="10"/>
  <c r="C6" i="14"/>
  <c r="E6" i="14" s="1"/>
  <c r="B30" i="30"/>
  <c r="E30" i="30" s="1"/>
  <c r="E26" i="15"/>
  <c r="E21" i="15"/>
  <c r="E15" i="15"/>
  <c r="E13" i="15"/>
  <c r="E25" i="15"/>
  <c r="C26" i="14"/>
  <c r="E26" i="14" s="1"/>
  <c r="R51" i="10"/>
  <c r="B10" i="30"/>
  <c r="E10" i="30" s="1"/>
  <c r="O52" i="10"/>
  <c r="L52" i="10"/>
  <c r="E6" i="15"/>
  <c r="E16" i="14"/>
  <c r="R36" i="10"/>
  <c r="R44" i="10"/>
  <c r="R47" i="10"/>
  <c r="R40" i="10"/>
  <c r="R48" i="10"/>
  <c r="R49" i="10"/>
  <c r="R34" i="10"/>
  <c r="R50" i="10"/>
  <c r="R37" i="10"/>
  <c r="R45" i="10"/>
  <c r="R32" i="10"/>
  <c r="R33" i="10"/>
  <c r="R41" i="10"/>
  <c r="R42" i="10"/>
  <c r="R38" i="10"/>
  <c r="R46" i="10"/>
  <c r="R39" i="10"/>
  <c r="R43" i="10"/>
  <c r="R35" i="10"/>
  <c r="E22" i="14"/>
  <c r="E9" i="14"/>
  <c r="E23" i="14"/>
  <c r="E14" i="14"/>
  <c r="E20" i="14"/>
  <c r="E12" i="14"/>
  <c r="E15" i="14"/>
  <c r="E25" i="14"/>
  <c r="E7" i="14"/>
  <c r="E17" i="14"/>
  <c r="E11" i="14"/>
  <c r="E18" i="14"/>
  <c r="E21" i="14"/>
  <c r="E24" i="14"/>
  <c r="E19" i="14"/>
  <c r="E10" i="14"/>
  <c r="E13" i="14"/>
  <c r="G22" i="14" l="1"/>
  <c r="G24" i="14"/>
  <c r="G7" i="14"/>
  <c r="G19" i="14"/>
  <c r="G8" i="14"/>
  <c r="G16" i="14"/>
  <c r="G25" i="14"/>
  <c r="D10" i="30"/>
  <c r="F6" i="14" s="1"/>
  <c r="G12" i="14"/>
  <c r="G21" i="14"/>
  <c r="G18" i="14"/>
  <c r="G11" i="14"/>
  <c r="G23" i="14"/>
  <c r="G10" i="14"/>
  <c r="D30" i="30"/>
  <c r="F26" i="14" s="1"/>
  <c r="G26" i="14" s="1"/>
  <c r="G15" i="14"/>
  <c r="G20" i="14"/>
  <c r="G14" i="14"/>
  <c r="G13" i="14"/>
  <c r="G17" i="14"/>
  <c r="G9" i="14"/>
  <c r="C27" i="14"/>
  <c r="E27" i="15"/>
  <c r="E28" i="15" s="1"/>
  <c r="E29" i="15" s="1"/>
  <c r="E27" i="14"/>
  <c r="E28" i="14" s="1"/>
  <c r="R52" i="10"/>
  <c r="R56" i="10" l="1"/>
  <c r="F27" i="14"/>
  <c r="F28" i="14" s="1"/>
  <c r="G6" i="14"/>
  <c r="G27" i="14" s="1"/>
  <c r="G30" i="14" l="1"/>
  <c r="G28" i="14"/>
</calcChain>
</file>

<file path=xl/sharedStrings.xml><?xml version="1.0" encoding="utf-8"?>
<sst xmlns="http://schemas.openxmlformats.org/spreadsheetml/2006/main" count="3353" uniqueCount="710">
  <si>
    <t>(t N)</t>
  </si>
  <si>
    <t>(t fertilizer)</t>
  </si>
  <si>
    <t>(g N/g fertilizer)</t>
  </si>
  <si>
    <t>(kg N volatilized/kg N applied)</t>
  </si>
  <si>
    <t>(kg N2O-N/kg N applied)</t>
  </si>
  <si>
    <t>(t N2O)</t>
  </si>
  <si>
    <t xml:space="preserve"> (t CO2e)</t>
  </si>
  <si>
    <t xml:space="preserve">Nitrogen content of synthetic N fertilizer type (LAN) applied in baseline year b </t>
  </si>
  <si>
    <t xml:space="preserve">Strata No. </t>
  </si>
  <si>
    <t>Strata 1</t>
  </si>
  <si>
    <t>Strata 2</t>
  </si>
  <si>
    <t>Strata 3</t>
  </si>
  <si>
    <t>Strata 4</t>
  </si>
  <si>
    <t>Strata 5</t>
  </si>
  <si>
    <t>Strata 6</t>
  </si>
  <si>
    <t>Strata 7</t>
  </si>
  <si>
    <t>Strata 8</t>
  </si>
  <si>
    <t>Strata 9</t>
  </si>
  <si>
    <t>Strata 10</t>
  </si>
  <si>
    <t>Strata 11</t>
  </si>
  <si>
    <t>Strata 12</t>
  </si>
  <si>
    <t>Strata 13</t>
  </si>
  <si>
    <t>Strata 14</t>
  </si>
  <si>
    <t>Strata 15</t>
  </si>
  <si>
    <t>Strata 16</t>
  </si>
  <si>
    <t>Strata 17</t>
  </si>
  <si>
    <t>Strata 18</t>
  </si>
  <si>
    <t>Strata 19</t>
  </si>
  <si>
    <t>Strata 20</t>
  </si>
  <si>
    <t>Strata 21</t>
  </si>
  <si>
    <t>Strata 22</t>
  </si>
  <si>
    <t>Veld Name</t>
  </si>
  <si>
    <t>Region</t>
  </si>
  <si>
    <t>Area (ha)</t>
  </si>
  <si>
    <t>Kwazulu Natal</t>
  </si>
  <si>
    <t>Eastern Cape</t>
  </si>
  <si>
    <t>MPL</t>
  </si>
  <si>
    <t>Free State</t>
  </si>
  <si>
    <t>Kwazulu Natal / Free State</t>
  </si>
  <si>
    <r>
      <t xml:space="preserve">M </t>
    </r>
    <r>
      <rPr>
        <vertAlign val="subscript"/>
        <sz val="9"/>
        <color theme="1"/>
        <rFont val="Arial"/>
        <family val="2"/>
      </rPr>
      <t>SNi,b</t>
    </r>
  </si>
  <si>
    <r>
      <t>NC</t>
    </r>
    <r>
      <rPr>
        <vertAlign val="subscript"/>
        <sz val="9"/>
        <color theme="1"/>
        <rFont val="Arial"/>
        <family val="2"/>
      </rPr>
      <t>SNi,b</t>
    </r>
  </si>
  <si>
    <r>
      <t>Frac</t>
    </r>
    <r>
      <rPr>
        <vertAlign val="subscript"/>
        <sz val="9"/>
        <color theme="1"/>
        <rFont val="Arial"/>
        <family val="2"/>
      </rPr>
      <t>GAS,F</t>
    </r>
  </si>
  <si>
    <r>
      <t>F</t>
    </r>
    <r>
      <rPr>
        <vertAlign val="subscript"/>
        <sz val="9"/>
        <color theme="1"/>
        <rFont val="Arial"/>
        <family val="2"/>
      </rPr>
      <t>SN,b</t>
    </r>
  </si>
  <si>
    <r>
      <t>EF</t>
    </r>
    <r>
      <rPr>
        <vertAlign val="subscript"/>
        <sz val="9"/>
        <color theme="1"/>
        <rFont val="Arial"/>
        <family val="2"/>
      </rPr>
      <t>Nfert</t>
    </r>
  </si>
  <si>
    <r>
      <t>BE</t>
    </r>
    <r>
      <rPr>
        <vertAlign val="subscript"/>
        <sz val="9"/>
        <color theme="1"/>
        <rFont val="Arial"/>
        <family val="2"/>
      </rPr>
      <t>D,N2OSN b</t>
    </r>
  </si>
  <si>
    <r>
      <t>BE</t>
    </r>
    <r>
      <rPr>
        <vertAlign val="subscript"/>
        <sz val="9"/>
        <color theme="1"/>
        <rFont val="Arial"/>
        <family val="2"/>
      </rPr>
      <t>N2OSN b</t>
    </r>
  </si>
  <si>
    <r>
      <t>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O emission factor for synthetic N fertilizer use </t>
    </r>
  </si>
  <si>
    <r>
      <t>Fraction of synthetic N fertilizer that volatilizes as NH</t>
    </r>
    <r>
      <rPr>
        <vertAlign val="subscript"/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 xml:space="preserve"> and NOx </t>
    </r>
  </si>
  <si>
    <r>
      <t>Project direct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O emissions from synthetic nitrogen fertilizer use in year 2022 </t>
    </r>
  </si>
  <si>
    <r>
      <t>Annual amount of synthetic fertilizer N applied to grassland soils in year 2022, adjusted for volatilization as NH</t>
    </r>
    <r>
      <rPr>
        <vertAlign val="subscript"/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 xml:space="preserve">and NOx </t>
    </r>
  </si>
  <si>
    <r>
      <t>PE</t>
    </r>
    <r>
      <rPr>
        <vertAlign val="subscript"/>
        <sz val="9"/>
        <color theme="1"/>
        <rFont val="Arial"/>
        <family val="2"/>
      </rPr>
      <t>D,N2OSN b</t>
    </r>
  </si>
  <si>
    <r>
      <t>PE</t>
    </r>
    <r>
      <rPr>
        <vertAlign val="subscript"/>
        <sz val="9"/>
        <color theme="1"/>
        <rFont val="Arial"/>
        <family val="2"/>
      </rPr>
      <t>N2OSN b</t>
    </r>
  </si>
  <si>
    <t>(ha)</t>
  </si>
  <si>
    <t>(t biomass/ha)</t>
  </si>
  <si>
    <t>Combustion factor (t dry matter burnt/t biomass)</t>
  </si>
  <si>
    <t>(t dry matter burnt/t biomass)</t>
  </si>
  <si>
    <t>CH4 emission factor for biomass burning (g CH4/kg dry matter burnt)</t>
  </si>
  <si>
    <t>(g CH4/kg dry matter burnt)</t>
  </si>
  <si>
    <t xml:space="preserve">Global-warming potential for CH4 </t>
  </si>
  <si>
    <t>(t CO2e/t CH4)</t>
  </si>
  <si>
    <t>(t CO2e)</t>
  </si>
  <si>
    <t>g N2O/kg dry matter burnt</t>
  </si>
  <si>
    <t>Global-warming potential for N2O</t>
  </si>
  <si>
    <t>(t CO2e/t N2O)</t>
  </si>
  <si>
    <t xml:space="preserve">Baseline GHG emissions from biomass burning in baseline year b </t>
  </si>
  <si>
    <t>Total Area (ha)</t>
  </si>
  <si>
    <r>
      <t>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 emission factor</t>
    </r>
  </si>
  <si>
    <r>
      <t>A</t>
    </r>
    <r>
      <rPr>
        <vertAlign val="subscript"/>
        <sz val="9"/>
        <color theme="1"/>
        <rFont val="Arial"/>
        <family val="2"/>
      </rPr>
      <t>B,b</t>
    </r>
  </si>
  <si>
    <r>
      <t xml:space="preserve">M </t>
    </r>
    <r>
      <rPr>
        <vertAlign val="subscript"/>
        <sz val="9"/>
        <color theme="1"/>
        <rFont val="Arial"/>
        <family val="2"/>
      </rPr>
      <t>B,b</t>
    </r>
  </si>
  <si>
    <r>
      <t>C</t>
    </r>
    <r>
      <rPr>
        <vertAlign val="subscript"/>
        <sz val="9"/>
        <color theme="1"/>
        <rFont val="Arial"/>
        <family val="2"/>
      </rPr>
      <t>f</t>
    </r>
  </si>
  <si>
    <r>
      <t>EF</t>
    </r>
    <r>
      <rPr>
        <vertAlign val="subscript"/>
        <sz val="9"/>
        <color theme="1"/>
        <rFont val="Arial"/>
        <family val="2"/>
      </rPr>
      <t>CH4</t>
    </r>
  </si>
  <si>
    <r>
      <t>GWP</t>
    </r>
    <r>
      <rPr>
        <vertAlign val="subscript"/>
        <sz val="9"/>
        <color theme="1"/>
        <rFont val="Arial"/>
        <family val="2"/>
      </rPr>
      <t>CH4</t>
    </r>
  </si>
  <si>
    <r>
      <t>EF</t>
    </r>
    <r>
      <rPr>
        <vertAlign val="subscript"/>
        <sz val="9"/>
        <color theme="1"/>
        <rFont val="Arial"/>
        <family val="2"/>
      </rPr>
      <t>N2O</t>
    </r>
  </si>
  <si>
    <r>
      <t>GWP</t>
    </r>
    <r>
      <rPr>
        <vertAlign val="subscript"/>
        <sz val="9"/>
        <color theme="1"/>
        <rFont val="Arial"/>
        <family val="2"/>
      </rPr>
      <t>N2O</t>
    </r>
  </si>
  <si>
    <r>
      <t>BE</t>
    </r>
    <r>
      <rPr>
        <vertAlign val="subscript"/>
        <sz val="9"/>
        <color theme="1"/>
        <rFont val="Arial"/>
        <family val="2"/>
      </rPr>
      <t>CH4BB,b</t>
    </r>
  </si>
  <si>
    <r>
      <t>BE</t>
    </r>
    <r>
      <rPr>
        <vertAlign val="subscript"/>
        <sz val="9"/>
        <color theme="1"/>
        <rFont val="Arial"/>
        <family val="2"/>
      </rPr>
      <t>N2OBB,b</t>
    </r>
  </si>
  <si>
    <r>
      <t>BE</t>
    </r>
    <r>
      <rPr>
        <vertAlign val="subscript"/>
        <sz val="9"/>
        <color theme="1"/>
        <rFont val="Arial"/>
        <family val="2"/>
      </rPr>
      <t>BB,b</t>
    </r>
  </si>
  <si>
    <t>Area burned in project year 2022</t>
  </si>
  <si>
    <t>Aboveground biomass burned in project year 2022</t>
  </si>
  <si>
    <t>Project GHG emissions from biomass burning in project year 2022</t>
  </si>
  <si>
    <r>
      <t>PE</t>
    </r>
    <r>
      <rPr>
        <vertAlign val="subscript"/>
        <sz val="9"/>
        <color theme="1"/>
        <rFont val="Arial"/>
        <family val="2"/>
      </rPr>
      <t>CH4BB,t (2022)</t>
    </r>
  </si>
  <si>
    <r>
      <t>BE</t>
    </r>
    <r>
      <rPr>
        <vertAlign val="subscript"/>
        <sz val="9"/>
        <color theme="1"/>
        <rFont val="Arial"/>
        <family val="2"/>
      </rPr>
      <t>N2OBB,t (2022)</t>
    </r>
  </si>
  <si>
    <r>
      <t>PE</t>
    </r>
    <r>
      <rPr>
        <vertAlign val="subscript"/>
        <sz val="9"/>
        <color theme="1"/>
        <rFont val="Arial"/>
        <family val="2"/>
      </rPr>
      <t>BB,t (2022)</t>
    </r>
  </si>
  <si>
    <r>
      <t>A</t>
    </r>
    <r>
      <rPr>
        <vertAlign val="subscript"/>
        <sz val="11"/>
        <color theme="1"/>
        <rFont val="Calibri"/>
        <family val="2"/>
        <scheme val="minor"/>
      </rPr>
      <t>B, j,s</t>
    </r>
  </si>
  <si>
    <t>(t dm/(ha)</t>
  </si>
  <si>
    <t xml:space="preserve">Carbon fraction for species j </t>
  </si>
  <si>
    <t>(t C/t dm)</t>
  </si>
  <si>
    <r>
      <t>CF</t>
    </r>
    <r>
      <rPr>
        <vertAlign val="subscript"/>
        <sz val="11"/>
        <color theme="1"/>
        <rFont val="Calibri"/>
        <family val="2"/>
        <scheme val="minor"/>
      </rPr>
      <t>j</t>
    </r>
  </si>
  <si>
    <t>(t CO2)</t>
  </si>
  <si>
    <t xml:space="preserve">Baseline removals from existing woody perennials in baseline year b </t>
  </si>
  <si>
    <r>
      <t>BWRP</t>
    </r>
    <r>
      <rPr>
        <vertAlign val="subscript"/>
        <sz val="11"/>
        <color theme="1"/>
        <rFont val="Calibri"/>
        <family val="2"/>
        <scheme val="minor"/>
      </rPr>
      <t>b</t>
    </r>
  </si>
  <si>
    <t>Tree type</t>
  </si>
  <si>
    <t>Tree Sp. 1</t>
  </si>
  <si>
    <t>Strata</t>
  </si>
  <si>
    <t>Project area of stratum m</t>
  </si>
  <si>
    <t>Animal category</t>
  </si>
  <si>
    <t>Year      2018-19</t>
  </si>
  <si>
    <t>Year    2019-2020</t>
  </si>
  <si>
    <t>Year    2020-2021</t>
  </si>
  <si>
    <t>Year    2021-2022</t>
  </si>
  <si>
    <t xml:space="preserve">Global warming potential for methane </t>
  </si>
  <si>
    <r>
      <t>GWP</t>
    </r>
    <r>
      <rPr>
        <b/>
        <vertAlign val="subscript"/>
        <sz val="9"/>
        <rFont val="Arial"/>
        <family val="2"/>
      </rPr>
      <t>CH4</t>
    </r>
  </si>
  <si>
    <t>Cattle</t>
  </si>
  <si>
    <t>Sheep</t>
  </si>
  <si>
    <t>TOTAL</t>
  </si>
  <si>
    <t>Enteric CH4 emission factor per head of livestock type l per year</t>
  </si>
  <si>
    <r>
      <t>EF</t>
    </r>
    <r>
      <rPr>
        <b/>
        <vertAlign val="subscript"/>
        <sz val="9"/>
        <rFont val="Arial"/>
        <family val="2"/>
      </rPr>
      <t>l</t>
    </r>
  </si>
  <si>
    <t>Grazing days inside the project area for each livestock typelin baseline year b (days)</t>
  </si>
  <si>
    <r>
      <t>Days</t>
    </r>
    <r>
      <rPr>
        <vertAlign val="subscript"/>
        <sz val="11"/>
        <color theme="1"/>
        <rFont val="Calibri"/>
        <family val="2"/>
        <scheme val="minor"/>
      </rPr>
      <t>l,b</t>
    </r>
  </si>
  <si>
    <t>Baseline CH4 emissions from enteric fermentation in baseline year b</t>
  </si>
  <si>
    <r>
      <t>BE</t>
    </r>
    <r>
      <rPr>
        <b/>
        <vertAlign val="subscript"/>
        <sz val="9"/>
        <rFont val="Arial"/>
        <family val="2"/>
      </rPr>
      <t>CH4,EF,b</t>
    </r>
  </si>
  <si>
    <r>
      <t>Number (P</t>
    </r>
    <r>
      <rPr>
        <b/>
        <vertAlign val="subscript"/>
        <sz val="9"/>
        <rFont val="Arial"/>
        <family val="2"/>
      </rPr>
      <t>l,t</t>
    </r>
    <r>
      <rPr>
        <b/>
        <sz val="9"/>
        <rFont val="Arial"/>
        <family val="2"/>
      </rPr>
      <t>)</t>
    </r>
  </si>
  <si>
    <t>Grazing days inside the project area for each livestock typelin the project year t (days)</t>
  </si>
  <si>
    <r>
      <t>Days</t>
    </r>
    <r>
      <rPr>
        <vertAlign val="subscript"/>
        <sz val="11"/>
        <color theme="1"/>
        <rFont val="Calibri"/>
        <family val="2"/>
        <scheme val="minor"/>
      </rPr>
      <t>l,t</t>
    </r>
  </si>
  <si>
    <r>
      <t>PE</t>
    </r>
    <r>
      <rPr>
        <b/>
        <vertAlign val="subscript"/>
        <sz val="9"/>
        <rFont val="Arial"/>
        <family val="2"/>
      </rPr>
      <t>CH4,EF,t</t>
    </r>
  </si>
  <si>
    <t>Strata No.</t>
  </si>
  <si>
    <t>Location</t>
  </si>
  <si>
    <t>Livestock owner Details</t>
  </si>
  <si>
    <t>Number of sampling plot</t>
  </si>
  <si>
    <t>Sampling Plot</t>
  </si>
  <si>
    <t>Latitude</t>
  </si>
  <si>
    <t>Longitude</t>
  </si>
  <si>
    <t xml:space="preserve">SOC content                    (g C/kg soil) </t>
  </si>
  <si>
    <r>
      <t>Bulk Density (gm/cm</t>
    </r>
    <r>
      <rPr>
        <b/>
        <vertAlign val="superscript"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libri"/>
        <family val="2"/>
        <scheme val="minor"/>
      </rPr>
      <t>)</t>
    </r>
  </si>
  <si>
    <t xml:space="preserve">Percentage (%) of rocks larger than 2mm, roots, and other dead residues with a diameter in the top 30 cm of soil </t>
  </si>
  <si>
    <t>Umgeni, Kwazulu Natal</t>
  </si>
  <si>
    <t>Graaf Reniet, EC</t>
  </si>
  <si>
    <t>Impendle, KZN</t>
  </si>
  <si>
    <t>NottinghamRd, KZn</t>
  </si>
  <si>
    <t>Kokstad, KZN</t>
  </si>
  <si>
    <t>Dullstroom, MPL</t>
  </si>
  <si>
    <t>Graaff-Reinet, EC</t>
  </si>
  <si>
    <t>Harrismith, FS</t>
  </si>
  <si>
    <t>Middelburg, EC</t>
  </si>
  <si>
    <t>Graaff Reinet, EC</t>
  </si>
  <si>
    <t>Chrissiesmeer, MPL</t>
  </si>
  <si>
    <t xml:space="preserve">SOC stock in the top 30 cm (or greater depth if required) of soil for management practice mG, stratum s, sampling site i under project in year t </t>
  </si>
  <si>
    <t>(t C / ha)</t>
  </si>
  <si>
    <t xml:space="preserve">Baseline SOC stock of stratum s, in the top 30 cm soil layer </t>
  </si>
  <si>
    <t>Difference in the carbon stock between the project in year t and the baseline scenario</t>
  </si>
  <si>
    <t xml:space="preserve"> (t C)</t>
  </si>
  <si>
    <t xml:space="preserve">Project removals due to changes in SOC in year t </t>
  </si>
  <si>
    <r>
      <t>PR</t>
    </r>
    <r>
      <rPr>
        <vertAlign val="subscript"/>
        <sz val="11"/>
        <color theme="1"/>
        <rFont val="Calibri"/>
        <family val="2"/>
        <scheme val="minor"/>
      </rPr>
      <t>t</t>
    </r>
  </si>
  <si>
    <t xml:space="preserve">Number of years from the project start date to year t </t>
  </si>
  <si>
    <t>n</t>
  </si>
  <si>
    <t>Project average increase in existing woody biomass for species j in grassland management stratum s in year t</t>
  </si>
  <si>
    <t>Project average increase in carbon stocks of existing woody biomass for species j, for year t</t>
  </si>
  <si>
    <r>
      <t>∆C</t>
    </r>
    <r>
      <rPr>
        <vertAlign val="subscript"/>
        <sz val="11"/>
        <color theme="1"/>
        <rFont val="Calibri"/>
        <family val="2"/>
        <scheme val="minor"/>
      </rPr>
      <t>PG, j,t</t>
    </r>
  </si>
  <si>
    <t xml:space="preserve">Project average net change in carbon stocks of existing woody biomass in year t </t>
  </si>
  <si>
    <r>
      <t>PRWP</t>
    </r>
    <r>
      <rPr>
        <vertAlign val="subscript"/>
        <sz val="11"/>
        <color theme="1"/>
        <rFont val="Calibri"/>
        <family val="2"/>
        <scheme val="minor"/>
      </rPr>
      <t>t</t>
    </r>
  </si>
  <si>
    <r>
      <t>PE</t>
    </r>
    <r>
      <rPr>
        <vertAlign val="subscript"/>
        <sz val="11"/>
        <color theme="1"/>
        <rFont val="Calibri"/>
        <family val="2"/>
        <scheme val="minor"/>
      </rPr>
      <t>N2OSN,t</t>
    </r>
  </si>
  <si>
    <t>Project N2O emissions due to fertilizer use in year t</t>
  </si>
  <si>
    <t>Project GHG emissions from biomass burning in year t</t>
  </si>
  <si>
    <r>
      <t>PE</t>
    </r>
    <r>
      <rPr>
        <vertAlign val="subscript"/>
        <sz val="11"/>
        <color theme="1"/>
        <rFont val="Calibri"/>
        <family val="2"/>
        <scheme val="minor"/>
      </rPr>
      <t>GHG,BB,t</t>
    </r>
  </si>
  <si>
    <t>Project CH4 emissions from enteric fermentation in year t</t>
  </si>
  <si>
    <r>
      <t>PE</t>
    </r>
    <r>
      <rPr>
        <vertAlign val="subscript"/>
        <sz val="11"/>
        <color theme="1"/>
        <rFont val="Calibri"/>
        <family val="2"/>
        <scheme val="minor"/>
      </rPr>
      <t>CH4,EF,t</t>
    </r>
  </si>
  <si>
    <t xml:space="preserve">Baseline N2O emissions due to fertilizer use in baseline year b </t>
  </si>
  <si>
    <r>
      <t>BE</t>
    </r>
    <r>
      <rPr>
        <vertAlign val="subscript"/>
        <sz val="11"/>
        <color theme="1"/>
        <rFont val="Calibri"/>
        <family val="2"/>
        <scheme val="minor"/>
      </rPr>
      <t>BB,b</t>
    </r>
  </si>
  <si>
    <t>Baseline emissions and removals in year b</t>
  </si>
  <si>
    <r>
      <t>BE</t>
    </r>
    <r>
      <rPr>
        <vertAlign val="subscript"/>
        <sz val="11"/>
        <color theme="1"/>
        <rFont val="Calibri"/>
        <family val="2"/>
        <scheme val="minor"/>
      </rPr>
      <t>b</t>
    </r>
  </si>
  <si>
    <t xml:space="preserve">Project net GHG emissions by sources and removals by sinks in year t </t>
  </si>
  <si>
    <r>
      <t>PE</t>
    </r>
    <r>
      <rPr>
        <vertAlign val="subscript"/>
        <sz val="11"/>
        <color theme="1"/>
        <rFont val="Calibri"/>
        <family val="2"/>
        <scheme val="minor"/>
      </rPr>
      <t>t</t>
    </r>
  </si>
  <si>
    <t xml:space="preserve">Emission reductions in year t </t>
  </si>
  <si>
    <r>
      <t>ER</t>
    </r>
    <r>
      <rPr>
        <vertAlign val="subscript"/>
        <sz val="11"/>
        <color theme="1"/>
        <rFont val="Calibri"/>
        <family val="2"/>
        <scheme val="minor"/>
      </rPr>
      <t>t</t>
    </r>
  </si>
  <si>
    <t>Year</t>
  </si>
  <si>
    <t>Project CH4 emissions from enteric fermentation in year t, 2019 (t CO2e)</t>
  </si>
  <si>
    <t>Project CH4 emissions from enteric fermentation in year t,2020 (t CO2e)</t>
  </si>
  <si>
    <t>Project CH4 emissions from enteric fermentation in year t,2021 (t CO2e)</t>
  </si>
  <si>
    <t>Project CH4 emissions from enteric fermentation in year t, 2022 (t CO2e)</t>
  </si>
  <si>
    <t>Name of the Beneficiaries</t>
  </si>
  <si>
    <t>Aloe broomii</t>
  </si>
  <si>
    <t>Searsia burchellii</t>
  </si>
  <si>
    <t>Vachellia karoo</t>
  </si>
  <si>
    <t>Lycium ferocissum</t>
  </si>
  <si>
    <t>leucosidea sericea</t>
  </si>
  <si>
    <t>Lycium cinereum</t>
  </si>
  <si>
    <t>Searsia dregeana</t>
  </si>
  <si>
    <t>Melianthus major</t>
  </si>
  <si>
    <t>Elytropappus rhinocerotis</t>
  </si>
  <si>
    <t>Euryops annae</t>
  </si>
  <si>
    <t>Passerina montana</t>
  </si>
  <si>
    <t xml:space="preserve">Diospyros austro-africana </t>
  </si>
  <si>
    <t>Lycium oxycarpum</t>
  </si>
  <si>
    <t>Asparagus mucronatus</t>
  </si>
  <si>
    <t>Asparagus multiflorus</t>
  </si>
  <si>
    <t>Diospyros lycioides</t>
  </si>
  <si>
    <t>Grewia robusta</t>
  </si>
  <si>
    <t>Searsia pallens</t>
  </si>
  <si>
    <t>Gymnosporia buxifolia</t>
  </si>
  <si>
    <t>Ehretia rigida</t>
  </si>
  <si>
    <t>Euphorbia mauritanica</t>
  </si>
  <si>
    <t>Pteronia membranacea</t>
  </si>
  <si>
    <t>Euclea undulata</t>
  </si>
  <si>
    <t>Euphorbia heptagona</t>
  </si>
  <si>
    <t>Portulacaria afra</t>
  </si>
  <si>
    <t>Putterlickia pyracantha</t>
  </si>
  <si>
    <t>Rhigozum obovatum</t>
  </si>
  <si>
    <t>Searsia longspina</t>
  </si>
  <si>
    <t>Atriplex vestita</t>
  </si>
  <si>
    <t>Salsola aphylla</t>
  </si>
  <si>
    <t>Rhigozum  obovatum</t>
  </si>
  <si>
    <t>Diospyros lyciodes</t>
  </si>
  <si>
    <t>Asparagus laricinus</t>
  </si>
  <si>
    <t>Number of trees per ha</t>
  </si>
  <si>
    <t>tdm/ha</t>
  </si>
  <si>
    <t>Above Ground Biomass</t>
  </si>
  <si>
    <t>AGB</t>
  </si>
  <si>
    <t>Area burned in baseline year 2013</t>
  </si>
  <si>
    <t>Area burned in baseline year 2014</t>
  </si>
  <si>
    <t>Area burned in baseline year 2015</t>
  </si>
  <si>
    <t>Area burned in baseline year 2016</t>
  </si>
  <si>
    <t>Area burned in baseline year 2017</t>
  </si>
  <si>
    <t>Area burned in project year 2018</t>
  </si>
  <si>
    <t>Area burned in project year 2019</t>
  </si>
  <si>
    <t>Area burned in project year 2020</t>
  </si>
  <si>
    <t>Area burned in project year 2021</t>
  </si>
  <si>
    <t>Aboveground biomass burned in project year 2018</t>
  </si>
  <si>
    <t>Aboveground biomass burned in project year 2019</t>
  </si>
  <si>
    <t>Aboveground biomass burned in project year 2020</t>
  </si>
  <si>
    <t>Aboveground biomass burned in project year 2021</t>
  </si>
  <si>
    <t>Project CH4 emissions from biomass burning in baseline year 2018</t>
  </si>
  <si>
    <t>Project CH4 emissions from biomass burning in baseline year 2019</t>
  </si>
  <si>
    <t>Project CH4 emissions from biomass burning in baseline year 2020</t>
  </si>
  <si>
    <t>Project CH4 emissions from biomass burning in baseline year 2021</t>
  </si>
  <si>
    <t>Project CH4 emissions from biomass burning in baseline year 2022</t>
  </si>
  <si>
    <t>Project N2O emissions from biomass burning in baseline year 2018</t>
  </si>
  <si>
    <t>Project N2O emissions from biomass burning in baseline year 2019</t>
  </si>
  <si>
    <t>Project N2O emissions from biomass burning in baseline year 2020</t>
  </si>
  <si>
    <t>Project N2O emissions from biomass burning in baseline year 2021</t>
  </si>
  <si>
    <t xml:space="preserve">Project N2O emissions from biomass burning in baseline year 2022 </t>
  </si>
  <si>
    <t>Project GHG emissions from biomass burning in project year 2018</t>
  </si>
  <si>
    <t>Project GHG emissions from biomass burning in project year 2019</t>
  </si>
  <si>
    <t>Project GHG emissions from biomass burning in project year 2020</t>
  </si>
  <si>
    <t>Project GHG emissions from biomass burning in project year 2021</t>
  </si>
  <si>
    <t xml:space="preserve">Mass of synthetic N fertilizer (LAN) applied in baseline year 2013 </t>
  </si>
  <si>
    <t>Mass of synthetic N fertilizer (LAN) applied in baseline year 2014</t>
  </si>
  <si>
    <t>Mass of synthetic N fertilizer (LAN) applied in baseline year 2015</t>
  </si>
  <si>
    <t>Mass of synthetic N fertilizer (LAN) applied in baseline year 2016</t>
  </si>
  <si>
    <t>Mass of synthetic N fertilizer (LAN) applied in baseline year 2017</t>
  </si>
  <si>
    <r>
      <t>Baseline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 emissions due to fertilizer use in baseline year 2017</t>
    </r>
  </si>
  <si>
    <r>
      <t>Baseline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 emissions due to fertilizer use in baseline year 2013</t>
    </r>
  </si>
  <si>
    <r>
      <t>Baseline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 emissions due to fertilizer use in baseline year 2014</t>
    </r>
  </si>
  <si>
    <r>
      <t>Baseline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 emissions due to fertilizer use in baseline year 2015</t>
    </r>
  </si>
  <si>
    <r>
      <t>Baseline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 emissions due to fertilizer use in baseline year 2016</t>
    </r>
  </si>
  <si>
    <r>
      <t>Annual amount of synthetic fertilizer N applied to grassland soils in baseline year 2013, adjusted for volatilization as NH</t>
    </r>
    <r>
      <rPr>
        <vertAlign val="subscript"/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 xml:space="preserve">and NOx </t>
    </r>
  </si>
  <si>
    <r>
      <t>Annual amount of synthetic fertilizer N applied to grassland soils in baseline year 2014, adjusted for volatilization as NH</t>
    </r>
    <r>
      <rPr>
        <vertAlign val="subscript"/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 xml:space="preserve">and NOx </t>
    </r>
  </si>
  <si>
    <r>
      <t>Annual amount of synthetic fertilizer N applied to grassland soils in baseline year 2015, adjusted for volatilization as NH</t>
    </r>
    <r>
      <rPr>
        <vertAlign val="subscript"/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 xml:space="preserve">and NOx </t>
    </r>
  </si>
  <si>
    <r>
      <t>Annual amount of synthetic fertilizer N applied to grassland soils in baseline year 2016, adjusted for volatilization as NH</t>
    </r>
    <r>
      <rPr>
        <vertAlign val="subscript"/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 xml:space="preserve">and NOx </t>
    </r>
  </si>
  <si>
    <r>
      <t>Annual amount of synthetic fertilizer N applied to grassland soils in baseline year 2017, adjusted for volatilization as NH</t>
    </r>
    <r>
      <rPr>
        <vertAlign val="subscript"/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 xml:space="preserve">and NOx </t>
    </r>
  </si>
  <si>
    <r>
      <t>Baseline direct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O emissions from synthetic nitrogen fertilizer use in baseline year 2013 </t>
    </r>
  </si>
  <si>
    <r>
      <t>Baseline direct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O emissions from synthetic nitrogen fertilizer use in baseline year 2014 </t>
    </r>
  </si>
  <si>
    <r>
      <t>Baseline direct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 emissions from synthetic nitrogen fertilizer use in baseline year 2015</t>
    </r>
  </si>
  <si>
    <r>
      <t>Baseline direct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 emissions from synthetic nitrogen fertilizer use in baseline year 2016</t>
    </r>
  </si>
  <si>
    <r>
      <t>Baseline direct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O emissions from synthetic nitrogen fertilizer use in baseline year 2017 </t>
    </r>
  </si>
  <si>
    <t xml:space="preserve">Mass of synthetic fertilizer (LAN) applied in year 2018 </t>
  </si>
  <si>
    <t xml:space="preserve">Mass of synthetic fertilizer (LAN) applied in year 2019 </t>
  </si>
  <si>
    <t xml:space="preserve">Mass of synthetic fertilizer (LAN) applied in year 2020 </t>
  </si>
  <si>
    <t xml:space="preserve">Mass of synthetic fertilizer (LAN) applied in year 2021 </t>
  </si>
  <si>
    <r>
      <t xml:space="preserve">M </t>
    </r>
    <r>
      <rPr>
        <vertAlign val="subscript"/>
        <sz val="9"/>
        <color theme="1"/>
        <rFont val="Arial"/>
        <family val="2"/>
      </rPr>
      <t>SNi,t</t>
    </r>
  </si>
  <si>
    <r>
      <t>NC</t>
    </r>
    <r>
      <rPr>
        <vertAlign val="subscript"/>
        <sz val="9"/>
        <color theme="1"/>
        <rFont val="Arial"/>
        <family val="2"/>
      </rPr>
      <t>SNi,p</t>
    </r>
  </si>
  <si>
    <r>
      <t>F</t>
    </r>
    <r>
      <rPr>
        <vertAlign val="subscript"/>
        <sz val="9"/>
        <color theme="1"/>
        <rFont val="Arial"/>
        <family val="2"/>
      </rPr>
      <t>SN,t</t>
    </r>
  </si>
  <si>
    <r>
      <t>Annual amount of synthetic fertilizer N applied to grassland soils in year 2018, adjusted for volatilization as NH</t>
    </r>
    <r>
      <rPr>
        <vertAlign val="subscript"/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 xml:space="preserve">and NOx </t>
    </r>
  </si>
  <si>
    <r>
      <t>Annual amount of synthetic fertilizer N applied to grassland soils in baseline year 2021, adjusted for volatilization as NH</t>
    </r>
    <r>
      <rPr>
        <vertAlign val="subscript"/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 xml:space="preserve">and NOx </t>
    </r>
  </si>
  <si>
    <r>
      <t>Annual amount of synthetic fertilizer N applied to grassland soils in year 2020, adjusted for volatilization as NH</t>
    </r>
    <r>
      <rPr>
        <vertAlign val="subscript"/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 xml:space="preserve">and NOx </t>
    </r>
  </si>
  <si>
    <r>
      <t>Annual amount of synthetic fertilizer N applied to grassland soils in year 2019, adjusted for volatilization as NH</t>
    </r>
    <r>
      <rPr>
        <vertAlign val="subscript"/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 xml:space="preserve">and NOx </t>
    </r>
  </si>
  <si>
    <r>
      <t>Project direct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O emissions from synthetic nitrogen fertilizer use in year 2018 </t>
    </r>
  </si>
  <si>
    <r>
      <t>Project direct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O emissions from synthetic nitrogen fertilizer use in year 2019 </t>
    </r>
  </si>
  <si>
    <r>
      <t>Project direct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O emissions from synthetic nitrogen fertilizer use in year 2020 </t>
    </r>
  </si>
  <si>
    <r>
      <t>Project direct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 xml:space="preserve">O emissions from synthetic nitrogen fertilizer use in year 2021 </t>
    </r>
  </si>
  <si>
    <r>
      <t>Project direct N</t>
    </r>
    <r>
      <rPr>
        <vertAlign val="sub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O emissions from synthetic nitrogen fertilizer use in year 2020</t>
    </r>
  </si>
  <si>
    <t>Average Baseline N2O emissions due to fertilizer use in baseline year b</t>
  </si>
  <si>
    <t>Aboveground biomass burned in baseline year 2013</t>
  </si>
  <si>
    <t>Aboveground biomass burned in baseline year 2014</t>
  </si>
  <si>
    <t>Aboveground biomass burned in baseline year 2015</t>
  </si>
  <si>
    <t>Aboveground biomass burned in baseline year 2016</t>
  </si>
  <si>
    <t>Aboveground biomass burned in baseline year 2017</t>
  </si>
  <si>
    <t xml:space="preserve">Baseline CH4 emissions from biomass burning in baseline year 2013 </t>
  </si>
  <si>
    <t xml:space="preserve">Baseline CH4 emissions from biomass burning in baseline year 2014 </t>
  </si>
  <si>
    <t xml:space="preserve">Baseline CH4 emissions from biomass burning in baseline year 2015 </t>
  </si>
  <si>
    <t xml:space="preserve">Baseline CH4 emissions from biomass burning in baseline year 2016 </t>
  </si>
  <si>
    <t xml:space="preserve">Baseline CH4 emissions from biomass burning in baseline year 2017 </t>
  </si>
  <si>
    <t>Baseline N2O emissions from biomass burning in baseline year 2013</t>
  </si>
  <si>
    <t xml:space="preserve">Baseline N2O emissions from biomass burning in baseline year 2014 </t>
  </si>
  <si>
    <t xml:space="preserve">Baseline N2O emissions from biomass burning in baseline year 2015 </t>
  </si>
  <si>
    <t xml:space="preserve">Baseline N2O emissions from biomass burning in baseline year 2016 </t>
  </si>
  <si>
    <t>Baseline N2O emissions from biomass burning in baseline year 2017</t>
  </si>
  <si>
    <t xml:space="preserve">Baseline GHG emissions from biomass burning in baseline year 2013 </t>
  </si>
  <si>
    <t>Baseline GHG emissions from biomass burning in baseline year 2014</t>
  </si>
  <si>
    <t>Baseline GHG emissions from biomass burning in baseline year 2015</t>
  </si>
  <si>
    <t>Baseline GHG emissions from biomass burning in baseline year 2016</t>
  </si>
  <si>
    <t>Baseline GHG emissions from biomass burning in baseline year 2017</t>
  </si>
  <si>
    <t xml:space="preserve">Average Baseline GHG emissions from biomass burning in baseline year b </t>
  </si>
  <si>
    <t>Dichrostachys cinerea</t>
  </si>
  <si>
    <t>Searsia spp</t>
  </si>
  <si>
    <t>Combretum zeyheri</t>
  </si>
  <si>
    <t>Euclea crispa</t>
  </si>
  <si>
    <t>Euclea like spp</t>
  </si>
  <si>
    <t>Lantana camara</t>
  </si>
  <si>
    <t>Searsia rigida</t>
  </si>
  <si>
    <t>stinky shrub</t>
  </si>
  <si>
    <t>Unknown</t>
  </si>
  <si>
    <t>Vachellia nilotica</t>
  </si>
  <si>
    <t>Vachellia seberiana</t>
  </si>
  <si>
    <t>Vachellia tortilis</t>
  </si>
  <si>
    <t>Marula tree</t>
  </si>
  <si>
    <t>Strawberry fruit</t>
  </si>
  <si>
    <t>Thorn shrub</t>
  </si>
  <si>
    <t>Alien shrub</t>
  </si>
  <si>
    <t>Aloe spectabilis</t>
  </si>
  <si>
    <t>Canthium mundianum</t>
  </si>
  <si>
    <t>Cussonia spicata</t>
  </si>
  <si>
    <t xml:space="preserve">Dovyalis zeyheri </t>
  </si>
  <si>
    <t xml:space="preserve">Euclea undulata </t>
  </si>
  <si>
    <t xml:space="preserve">Gymnosporia buxifolia </t>
  </si>
  <si>
    <t>Rhoicissus tridentata</t>
  </si>
  <si>
    <t>Searsia dentata</t>
  </si>
  <si>
    <t>Searsia pentheri</t>
  </si>
  <si>
    <t xml:space="preserve">Searsia pyroides </t>
  </si>
  <si>
    <t xml:space="preserve">Vachellia sieberiana </t>
  </si>
  <si>
    <t>Zanthoxylum capense</t>
  </si>
  <si>
    <t>Ziziphus mucronata</t>
  </si>
  <si>
    <t>Other</t>
  </si>
  <si>
    <t>Project CH4 emissions from enteric fermentation in year t, 2018 (t CO2e)</t>
  </si>
  <si>
    <t>No woody</t>
  </si>
  <si>
    <t>Number (Pl,b)</t>
  </si>
  <si>
    <t>Average Baseline</t>
  </si>
  <si>
    <t>Total for 2022</t>
  </si>
  <si>
    <t>Total for 2021</t>
  </si>
  <si>
    <t>Total for 2020</t>
  </si>
  <si>
    <t>Total for 2019</t>
  </si>
  <si>
    <t>Total for 2018</t>
  </si>
  <si>
    <t>Area of species j in stratum s under the project year 2022</t>
  </si>
  <si>
    <t>Area of species j in stratum s under the project year 2021</t>
  </si>
  <si>
    <t>Area of species j in stratum s under the project year 2020</t>
  </si>
  <si>
    <t>Area of species j in stratum s under theproject year 2019</t>
  </si>
  <si>
    <t>Area of species j in stratum s under the project year 2018</t>
  </si>
  <si>
    <t>Area of species j in stratum s under the baseline scenario 2013</t>
  </si>
  <si>
    <t>Area of species j in stratum s under the baseline scenario 2014</t>
  </si>
  <si>
    <t>Area of species j in stratum s under the baseline scenario 2017</t>
  </si>
  <si>
    <t>Area of species j in stratum s under the baseline scenario 2016</t>
  </si>
  <si>
    <t>Area of species j in stratum s under the baseline scenario 2015</t>
  </si>
  <si>
    <t>Average annual increase in existing woody biomass of species j in stratum 
s, under the baseline scenario</t>
  </si>
  <si>
    <t xml:space="preserve">Average annual increase in carbon stocks of existing woody biomass for 
species j, under the baseline scenario </t>
  </si>
  <si>
    <t>Baseline removals from existing woody perennials in baseline year b (t CO2)</t>
  </si>
  <si>
    <t>Total for 2014</t>
  </si>
  <si>
    <t>Total for 2015</t>
  </si>
  <si>
    <t>Total for 2016</t>
  </si>
  <si>
    <t>Total for 2017</t>
  </si>
  <si>
    <t>Baseline removals from existing woody perennials in baseline year</t>
  </si>
  <si>
    <t>Project GHG emissions from biomass burning in year 2018,2019,2020,2021,2022</t>
  </si>
  <si>
    <t xml:space="preserve">Kwazulu Natal </t>
  </si>
  <si>
    <t>KZN</t>
  </si>
  <si>
    <r>
      <t>Estimated baseline emissions or removals (tCO</t>
    </r>
    <r>
      <rPr>
        <b/>
        <vertAlign val="subscript"/>
        <sz val="10.5"/>
        <color rgb="FFFFFFFF"/>
        <rFont val="Franklin Gothic Book"/>
        <family val="2"/>
      </rPr>
      <t>2</t>
    </r>
    <r>
      <rPr>
        <b/>
        <sz val="10.5"/>
        <color rgb="FFFFFFFF"/>
        <rFont val="Franklin Gothic Book"/>
        <family val="2"/>
      </rPr>
      <t>e)</t>
    </r>
  </si>
  <si>
    <r>
      <t>Estimated project emissions or removals (tCO</t>
    </r>
    <r>
      <rPr>
        <b/>
        <vertAlign val="subscript"/>
        <sz val="10.5"/>
        <color rgb="FFFFFFFF"/>
        <rFont val="Franklin Gothic Book"/>
        <family val="2"/>
      </rPr>
      <t>2</t>
    </r>
    <r>
      <rPr>
        <b/>
        <sz val="10.5"/>
        <color rgb="FFFFFFFF"/>
        <rFont val="Franklin Gothic Book"/>
        <family val="2"/>
      </rPr>
      <t>e)</t>
    </r>
  </si>
  <si>
    <r>
      <t>Estimated leakage emissions (tCO</t>
    </r>
    <r>
      <rPr>
        <b/>
        <vertAlign val="subscript"/>
        <sz val="10.5"/>
        <color rgb="FFFFFFFF"/>
        <rFont val="Franklin Gothic Book"/>
        <family val="2"/>
      </rPr>
      <t>2</t>
    </r>
    <r>
      <rPr>
        <b/>
        <sz val="10.5"/>
        <color rgb="FFFFFFFF"/>
        <rFont val="Franklin Gothic Book"/>
        <family val="2"/>
      </rPr>
      <t>e)</t>
    </r>
  </si>
  <si>
    <r>
      <t>Estimated net GHG emission reductions or removals (tCO</t>
    </r>
    <r>
      <rPr>
        <b/>
        <vertAlign val="subscript"/>
        <sz val="10.5"/>
        <color rgb="FFFFFFFF"/>
        <rFont val="Franklin Gothic Book"/>
        <family val="2"/>
      </rPr>
      <t>2</t>
    </r>
    <r>
      <rPr>
        <b/>
        <sz val="10.5"/>
        <color rgb="FFFFFFFF"/>
        <rFont val="Franklin Gothic Book"/>
        <family val="2"/>
      </rPr>
      <t>e)</t>
    </r>
  </si>
  <si>
    <t>Year 1</t>
  </si>
  <si>
    <t>Year 2</t>
  </si>
  <si>
    <t>Year 3</t>
  </si>
  <si>
    <t>Year 4</t>
  </si>
  <si>
    <t>Year 5</t>
  </si>
  <si>
    <t>Total</t>
  </si>
  <si>
    <t>Crediting Period</t>
  </si>
  <si>
    <r>
      <t>PE</t>
    </r>
    <r>
      <rPr>
        <vertAlign val="subscript"/>
        <sz val="9"/>
        <rFont val="Arial"/>
        <family val="2"/>
      </rPr>
      <t>N2OSN,t</t>
    </r>
  </si>
  <si>
    <r>
      <t>PE</t>
    </r>
    <r>
      <rPr>
        <vertAlign val="subscript"/>
        <sz val="9"/>
        <rFont val="Arial"/>
        <family val="2"/>
      </rPr>
      <t>CH4EF,t</t>
    </r>
  </si>
  <si>
    <r>
      <t>PRWP</t>
    </r>
    <r>
      <rPr>
        <vertAlign val="subscript"/>
        <sz val="9"/>
        <rFont val="Arial"/>
        <family val="2"/>
      </rPr>
      <t>t</t>
    </r>
  </si>
  <si>
    <r>
      <t>PR</t>
    </r>
    <r>
      <rPr>
        <vertAlign val="subscript"/>
        <sz val="9"/>
        <rFont val="Arial"/>
        <family val="2"/>
      </rPr>
      <t>t</t>
    </r>
  </si>
  <si>
    <r>
      <t>PE</t>
    </r>
    <r>
      <rPr>
        <vertAlign val="subscript"/>
        <sz val="9"/>
        <rFont val="Arial"/>
        <family val="2"/>
      </rPr>
      <t>GHGBB,t</t>
    </r>
  </si>
  <si>
    <t>Sclerocarya birrea subsp. caffra</t>
  </si>
  <si>
    <t>Berchemia zeyheri</t>
  </si>
  <si>
    <t>Pappea capensis</t>
  </si>
  <si>
    <t>Scolopia zeyheri</t>
  </si>
  <si>
    <t>Asparagus capensis</t>
  </si>
  <si>
    <t>Leucosidae sericea</t>
  </si>
  <si>
    <t>Rubus cuneifolius</t>
  </si>
  <si>
    <t>Protea caffra</t>
  </si>
  <si>
    <t>Asparagus spp.</t>
  </si>
  <si>
    <t>Carissa haematocarpa</t>
  </si>
  <si>
    <t>Gloveria integrifolia</t>
  </si>
  <si>
    <t>Searsia lucida</t>
  </si>
  <si>
    <t>Vachellia karroo</t>
  </si>
  <si>
    <t>Olea europeae subsp. africana</t>
  </si>
  <si>
    <t>Searsia undulata</t>
  </si>
  <si>
    <t>Boscia oleoides</t>
  </si>
  <si>
    <t>Monechma spartioides</t>
  </si>
  <si>
    <t>Searsia longispina</t>
  </si>
  <si>
    <t>Mass of synthetic fertilizer (LAN) applied in year 2022</t>
  </si>
  <si>
    <r>
      <t xml:space="preserve">M </t>
    </r>
    <r>
      <rPr>
        <vertAlign val="subscript"/>
        <sz val="9"/>
        <color theme="1"/>
        <rFont val="Arial"/>
        <family val="2"/>
      </rPr>
      <t>B,t</t>
    </r>
  </si>
  <si>
    <t>Description</t>
  </si>
  <si>
    <t>Unit</t>
  </si>
  <si>
    <t>Value</t>
  </si>
  <si>
    <t>Source</t>
  </si>
  <si>
    <t xml:space="preserve">IPCC AR5 / VCS standard 4.2
</t>
  </si>
  <si>
    <t>2019 IPCC Refinement to the 2006 IPCC Guidelines for National Greenhouse Gas Inventories</t>
  </si>
  <si>
    <t>Nitrogen content of synthetic N fertilizer type i applied in baseline year b</t>
  </si>
  <si>
    <t>g N/g fertilizer</t>
  </si>
  <si>
    <t>Manufacturer product label</t>
  </si>
  <si>
    <t>kg N volatilized/kg N applied</t>
  </si>
  <si>
    <t>Combustion factor</t>
  </si>
  <si>
    <t>t dry matter burnt/t biomass</t>
  </si>
  <si>
    <t>IPCC volume 4 : Agriculture, Forestry and Other Land Use, Table 2.6</t>
  </si>
  <si>
    <t>CH4 emission factor for biomass burning</t>
  </si>
  <si>
    <t>g CH4/kg dry matter burnt</t>
  </si>
  <si>
    <t>IPCC  Guidelines for National Greenhouse Gas Inventories (Table 2.6, Chapter 2, Volume 4)</t>
  </si>
  <si>
    <t>VCS Standard (Version 4.2)</t>
  </si>
  <si>
    <t>2019 IPCC Refinement to the 2006 IPCC Guidelines for National Greenhouse Gas Inventories s (Table 10.10 &amp; 10.11, Chapter 10, Volume 4)</t>
  </si>
  <si>
    <t>Carbon fraction for species j</t>
  </si>
  <si>
    <t>t C/t dm</t>
  </si>
  <si>
    <t>IPCC Guidelines for National Greenhouse Gas Inventories (Table 2.5, Chapter 2, Volume 4)</t>
  </si>
  <si>
    <t>Parameter</t>
  </si>
  <si>
    <t xml:space="preserve">Cattle </t>
  </si>
  <si>
    <t xml:space="preserve">Other cattle </t>
  </si>
  <si>
    <r>
      <t>BE</t>
    </r>
    <r>
      <rPr>
        <vertAlign val="subscript"/>
        <sz val="11"/>
        <color theme="1"/>
        <rFont val="Calibri"/>
        <family val="2"/>
        <scheme val="minor"/>
      </rPr>
      <t>N2OSN,b</t>
    </r>
  </si>
  <si>
    <r>
      <t>BRWP</t>
    </r>
    <r>
      <rPr>
        <vertAlign val="subscript"/>
        <sz val="11"/>
        <color theme="1"/>
        <rFont val="Calibri"/>
        <family val="2"/>
        <scheme val="minor"/>
      </rPr>
      <t>b</t>
    </r>
  </si>
  <si>
    <t>Depth (cm)</t>
  </si>
  <si>
    <t>Project Title : Soil carbon improvement Project through Grassland Management, in South Africa</t>
  </si>
  <si>
    <t>VCS ID</t>
  </si>
  <si>
    <t>Version :</t>
  </si>
  <si>
    <t>E</t>
  </si>
  <si>
    <t>wi*si</t>
  </si>
  <si>
    <t>N</t>
  </si>
  <si>
    <t xml:space="preserve">Equation 1 </t>
  </si>
  <si>
    <t>Number of sample plots required for estimation of biomass stocks within the project boundary; dimensionless</t>
  </si>
  <si>
    <r>
      <t>n</t>
    </r>
    <r>
      <rPr>
        <vertAlign val="subscript"/>
        <sz val="11"/>
        <color theme="1"/>
        <rFont val="Calibri"/>
        <family val="2"/>
        <scheme val="minor"/>
      </rPr>
      <t>i</t>
    </r>
  </si>
  <si>
    <t>Number of sample plots allocated to stratum i; dimensionless</t>
  </si>
  <si>
    <t>Total number of possible sample plots within the project boundary (i.e. the sampling space or the population); dimensionless</t>
  </si>
  <si>
    <r>
      <t>t</t>
    </r>
    <r>
      <rPr>
        <vertAlign val="subscript"/>
        <sz val="11"/>
        <color theme="1"/>
        <rFont val="Calibri"/>
        <family val="2"/>
        <scheme val="minor"/>
      </rPr>
      <t>val</t>
    </r>
  </si>
  <si>
    <t>Two-sided Studentís t-value, at infinite degrees of freedom, for the required confidence level; dimensionless</t>
  </si>
  <si>
    <r>
      <t>w</t>
    </r>
    <r>
      <rPr>
        <vertAlign val="subscript"/>
        <sz val="11"/>
        <color theme="1"/>
        <rFont val="Calibri"/>
        <family val="2"/>
        <scheme val="minor"/>
      </rPr>
      <t>i</t>
    </r>
  </si>
  <si>
    <t>Relative weight of the area of stratum i (i.e. the area of the stratum i divided by the project area); dimensionless</t>
  </si>
  <si>
    <r>
      <t>s</t>
    </r>
    <r>
      <rPr>
        <vertAlign val="subscript"/>
        <sz val="11"/>
        <color theme="1"/>
        <rFont val="Calibri"/>
        <family val="2"/>
        <scheme val="minor"/>
      </rPr>
      <t>i</t>
    </r>
  </si>
  <si>
    <t>Estimated standard deviation of biomass stock in stratum i; t d.m. (or t d.m. ha-1)</t>
  </si>
  <si>
    <t>Acceptable margin of error (i.e. one-half the confidence interval) in estimation of biomass stock within the project boundary; t d.m. (or t d.m. ha-1), i.e. in the units used for i s</t>
  </si>
  <si>
    <t>i</t>
  </si>
  <si>
    <t>1, 2, 3, …. biomass stock estimation strata within the project boundary</t>
  </si>
  <si>
    <t>Sl. No.</t>
  </si>
  <si>
    <t>stdev</t>
  </si>
  <si>
    <t>Avg.</t>
  </si>
  <si>
    <r>
      <t>w</t>
    </r>
    <r>
      <rPr>
        <b/>
        <vertAlign val="subscript"/>
        <sz val="11"/>
        <color theme="1"/>
        <rFont val="Calibri"/>
        <family val="2"/>
        <scheme val="minor"/>
      </rPr>
      <t>i</t>
    </r>
  </si>
  <si>
    <r>
      <t>s</t>
    </r>
    <r>
      <rPr>
        <b/>
        <vertAlign val="subscript"/>
        <sz val="11"/>
        <color theme="1"/>
        <rFont val="Calibri"/>
        <family val="2"/>
        <scheme val="minor"/>
      </rPr>
      <t>i</t>
    </r>
  </si>
  <si>
    <r>
      <t>si</t>
    </r>
    <r>
      <rPr>
        <b/>
        <vertAlign val="superscript"/>
        <sz val="9"/>
        <rFont val="Arial"/>
        <family val="2"/>
      </rPr>
      <t>2</t>
    </r>
  </si>
  <si>
    <r>
      <t>wi*si</t>
    </r>
    <r>
      <rPr>
        <b/>
        <vertAlign val="superscript"/>
        <sz val="9"/>
        <rFont val="Arial"/>
        <family val="2"/>
      </rPr>
      <t>2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</si>
  <si>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val</t>
    </r>
  </si>
  <si>
    <r>
      <t>n</t>
    </r>
    <r>
      <rPr>
        <b/>
        <vertAlign val="subscript"/>
        <sz val="9"/>
        <rFont val="Arial"/>
        <family val="2"/>
      </rPr>
      <t>i</t>
    </r>
  </si>
  <si>
    <r>
      <t>Calculated n</t>
    </r>
    <r>
      <rPr>
        <b/>
        <vertAlign val="subscript"/>
        <sz val="9"/>
        <rFont val="Arial"/>
        <family val="2"/>
      </rPr>
      <t>i</t>
    </r>
  </si>
  <si>
    <r>
      <t>Actual n</t>
    </r>
    <r>
      <rPr>
        <b/>
        <vertAlign val="subscript"/>
        <sz val="9"/>
        <rFont val="Arial"/>
        <family val="2"/>
      </rPr>
      <t>i</t>
    </r>
  </si>
  <si>
    <t>Buffer Credit</t>
  </si>
  <si>
    <t>VCUs</t>
  </si>
  <si>
    <t>Mean</t>
  </si>
  <si>
    <t>Fertilizer Type</t>
  </si>
  <si>
    <t>Year               2013</t>
  </si>
  <si>
    <t>Year               2014</t>
  </si>
  <si>
    <t>Year            2015</t>
  </si>
  <si>
    <t>Year      2016</t>
  </si>
  <si>
    <t>Year      2017</t>
  </si>
  <si>
    <t>Year      2018</t>
  </si>
  <si>
    <t>Year      2019</t>
  </si>
  <si>
    <t>Year    200</t>
  </si>
  <si>
    <t>Year    2021</t>
  </si>
  <si>
    <t>Year    2022</t>
  </si>
  <si>
    <t>Amount (kg/ha)</t>
  </si>
  <si>
    <t>LAN</t>
  </si>
  <si>
    <t>Urea</t>
  </si>
  <si>
    <t>Year               2013-2014</t>
  </si>
  <si>
    <t>Year            2015-2016</t>
  </si>
  <si>
    <t>Year      2016-2017</t>
  </si>
  <si>
    <t>AVG</t>
  </si>
  <si>
    <t>YEAR</t>
  </si>
  <si>
    <t xml:space="preserve">Strata </t>
  </si>
  <si>
    <t>Area Burned</t>
  </si>
  <si>
    <t xml:space="preserve">AGB before burning </t>
  </si>
  <si>
    <t xml:space="preserve">AGB after burning </t>
  </si>
  <si>
    <t>Total of Strata 1:</t>
  </si>
  <si>
    <t xml:space="preserve">Total of Strata 2 : </t>
  </si>
  <si>
    <t>Total of Strata 3:</t>
  </si>
  <si>
    <t>Total of Strata 4:</t>
  </si>
  <si>
    <t>Total of Strata 5:</t>
  </si>
  <si>
    <t>Total of Strata 6 :</t>
  </si>
  <si>
    <t>Total of Strata 7 :</t>
  </si>
  <si>
    <t>Total of Strata 8</t>
  </si>
  <si>
    <t>Total of Strata 9</t>
  </si>
  <si>
    <t>Total of Strata 10</t>
  </si>
  <si>
    <t>Total of Strata 11</t>
  </si>
  <si>
    <t>Total of Strata 12</t>
  </si>
  <si>
    <t>Total of Strata 13</t>
  </si>
  <si>
    <t>Total of Strata 14</t>
  </si>
  <si>
    <t>Total of Strata 15</t>
  </si>
  <si>
    <t>Total of Strata 16</t>
  </si>
  <si>
    <t>Total of Strata 17</t>
  </si>
  <si>
    <t>Total of Strata 18</t>
  </si>
  <si>
    <t>Total of Strata19</t>
  </si>
  <si>
    <t>Total of Strata 20</t>
  </si>
  <si>
    <t>Total of Strata 21</t>
  </si>
  <si>
    <t>Total of Strata 22</t>
  </si>
  <si>
    <t>Spp</t>
  </si>
  <si>
    <t>Total Number of trees/ha</t>
  </si>
  <si>
    <t>Mean DBH (cm)</t>
  </si>
  <si>
    <t>tdm/ ha</t>
  </si>
  <si>
    <t>Area of species in stratum s (2013)</t>
  </si>
  <si>
    <t>ha</t>
  </si>
  <si>
    <t>cm</t>
  </si>
  <si>
    <t>kg</t>
  </si>
  <si>
    <t>Area of species in stratum s (2014)</t>
  </si>
  <si>
    <t xml:space="preserve">Total Area </t>
  </si>
  <si>
    <t xml:space="preserve">Mean DBH </t>
  </si>
  <si>
    <t>Area of species in stratum s (2015)</t>
  </si>
  <si>
    <t>trees/ha</t>
  </si>
  <si>
    <t>Area of species in stratum s (2016)</t>
  </si>
  <si>
    <t>Area of species in stratum s (2017)</t>
  </si>
  <si>
    <t>Area of species in stratum s (2018)</t>
  </si>
  <si>
    <t>Total Grassland Area</t>
  </si>
  <si>
    <t>Mean DBH</t>
  </si>
  <si>
    <t>Area of species in stratum s (2019)</t>
  </si>
  <si>
    <t>Area of species in stratum s (2020)</t>
  </si>
  <si>
    <t>Total Area</t>
  </si>
  <si>
    <t>Area of species in stratum s (2021)</t>
  </si>
  <si>
    <t xml:space="preserve"> trees/ha</t>
  </si>
  <si>
    <t>Area of species in stratum s (2022)</t>
  </si>
  <si>
    <t>t fertilizer</t>
  </si>
  <si>
    <t>Mass of synthetic N fertilizer type i applied in baseline year b</t>
  </si>
  <si>
    <t>Project database</t>
  </si>
  <si>
    <t>Area burned in baseline year b</t>
  </si>
  <si>
    <t>Aboveground biomass in terms of dry matter burned in baseline year b</t>
  </si>
  <si>
    <t>t biomass dm/ha</t>
  </si>
  <si>
    <t>Population of grazing livestock type l, in baseline year b</t>
  </si>
  <si>
    <t>Head</t>
  </si>
  <si>
    <t>Days</t>
  </si>
  <si>
    <t>Grazing days for livestock type l in baseline year b</t>
  </si>
  <si>
    <t>PRA study</t>
  </si>
  <si>
    <t>Ha</t>
  </si>
  <si>
    <t>Area of trees and shrubs under baseline, for species j in stratum s</t>
  </si>
  <si>
    <t>t dm/ha</t>
  </si>
  <si>
    <t>BR_woody perennials</t>
  </si>
  <si>
    <t>tonnes / ha</t>
  </si>
  <si>
    <t>Baseline soil organic carbon stock in the top 30 cm soil layer in stratum s</t>
  </si>
  <si>
    <t>Lab report</t>
  </si>
  <si>
    <t>f</t>
  </si>
  <si>
    <t>SOC monitoring frequency</t>
  </si>
  <si>
    <t>Methodological requirement for measured approach for SOC</t>
  </si>
  <si>
    <t>Mass of synthetic N fertilizer type i applied in year t</t>
  </si>
  <si>
    <t>Fertilizer_project</t>
  </si>
  <si>
    <t>Nitrogen content of synthetic N fertilizer type i applied under project</t>
  </si>
  <si>
    <t xml:space="preserve">Manufacturer product label </t>
  </si>
  <si>
    <t>Area burnt in year t during the project crediting period</t>
  </si>
  <si>
    <t>Measure and record the area burnt after the fire occurrence</t>
  </si>
  <si>
    <t>Burning_project</t>
  </si>
  <si>
    <t>t biomass/ha</t>
  </si>
  <si>
    <t>Aboveground biomass burnt, excluding litter and dead wood under project in year t.</t>
  </si>
  <si>
    <t>head</t>
  </si>
  <si>
    <t>Population of livestock typel under project in year t</t>
  </si>
  <si>
    <t>BE_PE_CH4 emission_Livestock</t>
  </si>
  <si>
    <t>Grazing days of livestock in year t under project</t>
  </si>
  <si>
    <t>Average increase in existing aboveground woody biomass of species j, in stratum s, under project for year t.</t>
  </si>
  <si>
    <t>Area of trees and shrubs of species j in stratum s under project in year t</t>
  </si>
  <si>
    <t>Project areas of grassland with management practice Mg in stratum s in year t</t>
  </si>
  <si>
    <t>g C/kg soil</t>
  </si>
  <si>
    <t>SOC stock in the top 30 cm of soil (or greater depth if required) for management practice mG, stratum s (or greater depth if desired), sampling site i</t>
  </si>
  <si>
    <t>g soil/cm3</t>
  </si>
  <si>
    <t>Soil bulk density in the top 30 cm of soil (or greater depth if required) for management practice mG, stratum s (or greater depth if desired), sampling site i</t>
  </si>
  <si>
    <t>Laboratory analysis</t>
  </si>
  <si>
    <t>percent</t>
  </si>
  <si>
    <t>Percentage of rocks with a diameter larger than 2mm, roots, and other dead residues in the top 30 cm of soil (or greater depth if desired), for management practice mG, stratum s, sampling site i</t>
  </si>
  <si>
    <t>Depth</t>
  </si>
  <si>
    <t xml:space="preserve">Total soil depth, for calculating grassland SOC stock in the top 30 cm of soil </t>
  </si>
  <si>
    <t>Estimated (refer Fertilizer_baseline)</t>
  </si>
  <si>
    <t>Estimated/ measured (refer Burning_baseline)</t>
  </si>
  <si>
    <t>Estimated/ measured (refer BE_PE_CH4 Emission_Livestock)</t>
  </si>
  <si>
    <t xml:space="preserve">Estimated/ measured </t>
  </si>
  <si>
    <t>Estimated / measured (refer PR_woody perennials)</t>
  </si>
  <si>
    <t>Estimated / measured (refer soil analysis data)</t>
  </si>
  <si>
    <t>Nitrogen content of synthetic N fertilizer type (LAN) applied under the project</t>
  </si>
  <si>
    <r>
      <t>GWP</t>
    </r>
    <r>
      <rPr>
        <vertAlign val="subscript"/>
        <sz val="11"/>
        <color theme="1"/>
        <rFont val="Arial"/>
        <family val="2"/>
      </rPr>
      <t>N2O </t>
    </r>
  </si>
  <si>
    <r>
      <t>Frac</t>
    </r>
    <r>
      <rPr>
        <vertAlign val="subscript"/>
        <sz val="11"/>
        <color theme="1"/>
        <rFont val="Arial"/>
        <family val="2"/>
      </rPr>
      <t>GAS,F</t>
    </r>
  </si>
  <si>
    <r>
      <t>C</t>
    </r>
    <r>
      <rPr>
        <vertAlign val="subscript"/>
        <sz val="11"/>
        <color theme="1"/>
        <rFont val="Arial"/>
        <family val="2"/>
      </rPr>
      <t>f</t>
    </r>
  </si>
  <si>
    <r>
      <t>Global-warming potential for N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</t>
    </r>
  </si>
  <si>
    <r>
      <t>t 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e/t N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</t>
    </r>
  </si>
  <si>
    <r>
      <t>EF</t>
    </r>
    <r>
      <rPr>
        <vertAlign val="subscript"/>
        <sz val="11"/>
        <color theme="1"/>
        <rFont val="Arial"/>
        <family val="2"/>
      </rPr>
      <t>Nfert</t>
    </r>
  </si>
  <si>
    <r>
      <t>N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 emission factor for synthetic N fertilizer use</t>
    </r>
  </si>
  <si>
    <r>
      <t>kg N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O-N/kg N applied</t>
    </r>
  </si>
  <si>
    <r>
      <t>NC</t>
    </r>
    <r>
      <rPr>
        <vertAlign val="subscript"/>
        <sz val="11"/>
        <color theme="1"/>
        <rFont val="Arial"/>
        <family val="2"/>
      </rPr>
      <t>SNi,b</t>
    </r>
  </si>
  <si>
    <r>
      <t>Fraction of synthetic N fertilizer that volatilizes as NH</t>
    </r>
    <r>
      <rPr>
        <vertAlign val="subscript"/>
        <sz val="11"/>
        <color theme="1"/>
        <rFont val="Arial"/>
        <family val="2"/>
      </rPr>
      <t>3</t>
    </r>
    <r>
      <rPr>
        <sz val="11"/>
        <color theme="1"/>
        <rFont val="Arial"/>
        <family val="2"/>
      </rPr>
      <t xml:space="preserve"> and NOx</t>
    </r>
  </si>
  <si>
    <r>
      <t>EF</t>
    </r>
    <r>
      <rPr>
        <vertAlign val="subscript"/>
        <sz val="11"/>
        <color theme="1"/>
        <rFont val="Arial"/>
        <family val="2"/>
      </rPr>
      <t>CH4</t>
    </r>
  </si>
  <si>
    <r>
      <t>GWP</t>
    </r>
    <r>
      <rPr>
        <vertAlign val="subscript"/>
        <sz val="11"/>
        <color theme="1"/>
        <rFont val="Arial"/>
        <family val="2"/>
      </rPr>
      <t>CH4</t>
    </r>
    <r>
      <rPr>
        <sz val="11"/>
        <color theme="1"/>
        <rFont val="Arial"/>
        <family val="2"/>
      </rPr>
      <t xml:space="preserve"> </t>
    </r>
  </si>
  <si>
    <r>
      <t>Global-warming potential for CH</t>
    </r>
    <r>
      <rPr>
        <vertAlign val="subscript"/>
        <sz val="11"/>
        <color theme="1"/>
        <rFont val="Arial"/>
        <family val="2"/>
      </rPr>
      <t>4</t>
    </r>
  </si>
  <si>
    <r>
      <t>t CO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e/t CH</t>
    </r>
    <r>
      <rPr>
        <vertAlign val="subscript"/>
        <sz val="11"/>
        <color theme="1"/>
        <rFont val="Arial"/>
        <family val="2"/>
      </rPr>
      <t>4</t>
    </r>
  </si>
  <si>
    <r>
      <t>EF</t>
    </r>
    <r>
      <rPr>
        <vertAlign val="subscript"/>
        <sz val="11"/>
        <color theme="1"/>
        <rFont val="Arial"/>
        <family val="2"/>
      </rPr>
      <t>l</t>
    </r>
  </si>
  <si>
    <r>
      <t>Enteric CH</t>
    </r>
    <r>
      <rPr>
        <vertAlign val="sub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 xml:space="preserve"> emission factor per head of livestock type l per year</t>
    </r>
  </si>
  <si>
    <r>
      <t>kg CH</t>
    </r>
    <r>
      <rPr>
        <vertAlign val="subscript"/>
        <sz val="11"/>
        <color theme="1"/>
        <rFont val="Arial"/>
        <family val="2"/>
      </rPr>
      <t>4</t>
    </r>
    <r>
      <rPr>
        <sz val="11"/>
        <color theme="1"/>
        <rFont val="Arial"/>
        <family val="2"/>
      </rPr>
      <t>/(head * year)</t>
    </r>
  </si>
  <si>
    <r>
      <t>CF</t>
    </r>
    <r>
      <rPr>
        <vertAlign val="subscript"/>
        <sz val="11"/>
        <color theme="1"/>
        <rFont val="Arial"/>
        <family val="2"/>
      </rPr>
      <t>j</t>
    </r>
  </si>
  <si>
    <r>
      <t xml:space="preserve">CDM A/R Methodological Tool for </t>
    </r>
    <r>
      <rPr>
        <i/>
        <sz val="11"/>
        <color theme="1"/>
        <rFont val="Arial"/>
        <family val="2"/>
      </rPr>
      <t>Estimation of carbon stocks and change in carbon stocks of trees and shrubs</t>
    </r>
    <r>
      <rPr>
        <sz val="11"/>
        <color theme="1"/>
        <rFont val="Arial"/>
        <family val="2"/>
      </rPr>
      <t xml:space="preserve"> in A/R CDM project activities</t>
    </r>
  </si>
  <si>
    <r>
      <t>EF</t>
    </r>
    <r>
      <rPr>
        <vertAlign val="subscript"/>
        <sz val="11"/>
        <color theme="1"/>
        <rFont val="Arial"/>
        <family val="2"/>
      </rPr>
      <t>N2O</t>
    </r>
  </si>
  <si>
    <r>
      <t>N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 emission factor for biomass burning g N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O/kg dry matter burnt</t>
    </r>
  </si>
  <si>
    <r>
      <t>g N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O/kg dry matter burnt</t>
    </r>
  </si>
  <si>
    <r>
      <t>M</t>
    </r>
    <r>
      <rPr>
        <vertAlign val="subscript"/>
        <sz val="11"/>
        <color theme="1"/>
        <rFont val="Arial"/>
        <family val="2"/>
      </rPr>
      <t>SNi,b</t>
    </r>
  </si>
  <si>
    <r>
      <t>A</t>
    </r>
    <r>
      <rPr>
        <vertAlign val="subscript"/>
        <sz val="11"/>
        <color theme="1"/>
        <rFont val="Arial"/>
        <family val="2"/>
      </rPr>
      <t>B,b</t>
    </r>
  </si>
  <si>
    <r>
      <t>M</t>
    </r>
    <r>
      <rPr>
        <vertAlign val="subscript"/>
        <sz val="11"/>
        <color theme="1"/>
        <rFont val="Arial"/>
        <family val="2"/>
      </rPr>
      <t>B,b</t>
    </r>
  </si>
  <si>
    <r>
      <t>P</t>
    </r>
    <r>
      <rPr>
        <vertAlign val="subscript"/>
        <sz val="11"/>
        <color theme="1"/>
        <rFont val="Arial"/>
        <family val="2"/>
      </rPr>
      <t>l,b</t>
    </r>
  </si>
  <si>
    <r>
      <t xml:space="preserve">Days </t>
    </r>
    <r>
      <rPr>
        <vertAlign val="subscript"/>
        <sz val="11"/>
        <color theme="1"/>
        <rFont val="Arial"/>
        <family val="2"/>
      </rPr>
      <t>l,b</t>
    </r>
  </si>
  <si>
    <r>
      <t xml:space="preserve">A </t>
    </r>
    <r>
      <rPr>
        <vertAlign val="subscript"/>
        <sz val="11"/>
        <color theme="1"/>
        <rFont val="Arial"/>
        <family val="2"/>
      </rPr>
      <t>B,j,s</t>
    </r>
  </si>
  <si>
    <r>
      <t xml:space="preserve">G </t>
    </r>
    <r>
      <rPr>
        <vertAlign val="subscript"/>
        <sz val="11"/>
        <color theme="1"/>
        <rFont val="Arial"/>
        <family val="2"/>
      </rPr>
      <t>AB,B,j,s</t>
    </r>
  </si>
  <si>
    <t>Average annual increase in existing   aboveground woody biomass of species j in stratum s, under baseline</t>
  </si>
  <si>
    <r>
      <t xml:space="preserve">SOC </t>
    </r>
    <r>
      <rPr>
        <vertAlign val="subscript"/>
        <sz val="11"/>
        <color theme="1"/>
        <rFont val="Arial"/>
        <family val="2"/>
      </rPr>
      <t>s,baseline</t>
    </r>
  </si>
  <si>
    <r>
      <t xml:space="preserve">M </t>
    </r>
    <r>
      <rPr>
        <vertAlign val="subscript"/>
        <sz val="11"/>
        <color theme="1"/>
        <rFont val="Arial"/>
        <family val="2"/>
      </rPr>
      <t>SNi,t</t>
    </r>
  </si>
  <si>
    <r>
      <t xml:space="preserve">NC </t>
    </r>
    <r>
      <rPr>
        <vertAlign val="subscript"/>
        <sz val="11"/>
        <color theme="1"/>
        <rFont val="Arial"/>
        <family val="2"/>
      </rPr>
      <t>SNi,p</t>
    </r>
  </si>
  <si>
    <r>
      <t>A</t>
    </r>
    <r>
      <rPr>
        <vertAlign val="subscript"/>
        <sz val="11"/>
        <color theme="1"/>
        <rFont val="Arial"/>
        <family val="2"/>
      </rPr>
      <t>B,t</t>
    </r>
  </si>
  <si>
    <r>
      <t xml:space="preserve">M </t>
    </r>
    <r>
      <rPr>
        <vertAlign val="subscript"/>
        <sz val="11"/>
        <color theme="1"/>
        <rFont val="Arial"/>
        <family val="2"/>
      </rPr>
      <t>B,t</t>
    </r>
  </si>
  <si>
    <r>
      <t>P</t>
    </r>
    <r>
      <rPr>
        <vertAlign val="subscript"/>
        <sz val="11"/>
        <color theme="1"/>
        <rFont val="Arial"/>
        <family val="2"/>
      </rPr>
      <t>l,t</t>
    </r>
  </si>
  <si>
    <r>
      <t xml:space="preserve">Days </t>
    </r>
    <r>
      <rPr>
        <vertAlign val="subscript"/>
        <sz val="11"/>
        <color theme="1"/>
        <rFont val="Arial"/>
        <family val="2"/>
      </rPr>
      <t>l,t</t>
    </r>
    <r>
      <rPr>
        <sz val="11"/>
        <color theme="1"/>
        <rFont val="Arial"/>
        <family val="2"/>
      </rPr>
      <t xml:space="preserve"> </t>
    </r>
  </si>
  <si>
    <r>
      <t>G</t>
    </r>
    <r>
      <rPr>
        <vertAlign val="subscript"/>
        <sz val="11"/>
        <color theme="1"/>
        <rFont val="Arial"/>
        <family val="2"/>
      </rPr>
      <t>AB, j,s,t</t>
    </r>
  </si>
  <si>
    <r>
      <t>AP ,</t>
    </r>
    <r>
      <rPr>
        <vertAlign val="subscript"/>
        <sz val="11"/>
        <color theme="1"/>
        <rFont val="Arial"/>
        <family val="2"/>
      </rPr>
      <t>j ,s ,t</t>
    </r>
  </si>
  <si>
    <r>
      <t>PA</t>
    </r>
    <r>
      <rPr>
        <vertAlign val="subscript"/>
        <sz val="11"/>
        <color theme="1"/>
        <rFont val="Arial"/>
        <family val="2"/>
      </rPr>
      <t>m G ,s ,t</t>
    </r>
  </si>
  <si>
    <r>
      <t>SOC</t>
    </r>
    <r>
      <rPr>
        <vertAlign val="subscript"/>
        <sz val="11"/>
        <color theme="1"/>
        <rFont val="Arial"/>
        <family val="2"/>
      </rPr>
      <t>mG,s,i,t</t>
    </r>
  </si>
  <si>
    <r>
      <t xml:space="preserve">BD </t>
    </r>
    <r>
      <rPr>
        <vertAlign val="subscript"/>
        <sz val="11"/>
        <color theme="1"/>
        <rFont val="Arial"/>
        <family val="2"/>
      </rPr>
      <t>mG ,s ,i,t</t>
    </r>
  </si>
  <si>
    <r>
      <t xml:space="preserve">FC </t>
    </r>
    <r>
      <rPr>
        <vertAlign val="subscript"/>
        <sz val="11"/>
        <color theme="1"/>
        <rFont val="Arial"/>
        <family val="2"/>
      </rPr>
      <t>m G ,s ,i,t</t>
    </r>
  </si>
  <si>
    <t>satellite remote sensing imagery (google supplied images)</t>
  </si>
  <si>
    <r>
      <t xml:space="preserve">G </t>
    </r>
    <r>
      <rPr>
        <vertAlign val="subscript"/>
        <sz val="10.5"/>
        <color theme="1"/>
        <rFont val="Franklin Gothic Book"/>
        <family val="2"/>
      </rPr>
      <t>AB,B,j,s</t>
    </r>
  </si>
  <si>
    <r>
      <t>G</t>
    </r>
    <r>
      <rPr>
        <vertAlign val="subscript"/>
        <sz val="10.5"/>
        <color theme="1"/>
        <rFont val="Franklin Gothic Book"/>
        <family val="2"/>
      </rPr>
      <t>AB, j,s,t</t>
    </r>
  </si>
  <si>
    <r>
      <t>A</t>
    </r>
    <r>
      <rPr>
        <vertAlign val="subscript"/>
        <sz val="10.5"/>
        <color theme="1"/>
        <rFont val="Franklin Gothic Book"/>
        <family val="2"/>
      </rPr>
      <t>P</t>
    </r>
    <r>
      <rPr>
        <sz val="10.5"/>
        <color theme="1"/>
        <rFont val="Franklin Gothic Book"/>
        <family val="2"/>
      </rPr>
      <t>,</t>
    </r>
    <r>
      <rPr>
        <vertAlign val="subscript"/>
        <sz val="10.5"/>
        <color theme="1"/>
        <rFont val="Franklin Gothic Book"/>
        <family val="2"/>
      </rPr>
      <t>j ,s ,t</t>
    </r>
  </si>
  <si>
    <t xml:space="preserve">Sampling depth </t>
  </si>
  <si>
    <t xml:space="preserve">SOC content                   </t>
  </si>
  <si>
    <r>
      <t>SOC</t>
    </r>
    <r>
      <rPr>
        <b/>
        <vertAlign val="subscript"/>
        <sz val="11"/>
        <color theme="1"/>
        <rFont val="Calibri"/>
        <family val="2"/>
        <scheme val="minor"/>
      </rPr>
      <t>s,Baseline</t>
    </r>
  </si>
  <si>
    <t>(cm)</t>
  </si>
  <si>
    <t xml:space="preserve"> (g C/kg soil) </t>
  </si>
  <si>
    <t>Conserative value</t>
    <phoneticPr fontId="2" type="noConversion"/>
  </si>
  <si>
    <r>
      <t>P</t>
    </r>
    <r>
      <rPr>
        <b/>
        <vertAlign val="subscript"/>
        <sz val="11"/>
        <color theme="1"/>
        <rFont val="Calibri"/>
        <family val="2"/>
        <scheme val="minor"/>
      </rPr>
      <t>mG ,t</t>
    </r>
  </si>
  <si>
    <t>SE</t>
    <phoneticPr fontId="2" type="noConversion"/>
  </si>
  <si>
    <t xml:space="preserve"> t C/ha</t>
  </si>
  <si>
    <t xml:space="preserve">Mean </t>
    <phoneticPr fontId="2" type="noConversion"/>
  </si>
  <si>
    <t>SD</t>
    <phoneticPr fontId="2" type="noConversion"/>
  </si>
  <si>
    <t>Start Date</t>
  </si>
  <si>
    <t>End Date</t>
  </si>
  <si>
    <t>Parameter</t>
    <phoneticPr fontId="3" type="noConversion"/>
  </si>
  <si>
    <t>Value</t>
    <phoneticPr fontId="3" type="noConversion"/>
  </si>
  <si>
    <t>Unit</t>
    <phoneticPr fontId="3" type="noConversion"/>
  </si>
  <si>
    <t>Sources</t>
    <phoneticPr fontId="3" type="noConversion"/>
  </si>
  <si>
    <r>
      <t>BE</t>
    </r>
    <r>
      <rPr>
        <b/>
        <i/>
        <vertAlign val="subscript"/>
        <sz val="10"/>
        <color theme="1"/>
        <rFont val="Arial"/>
        <family val="2"/>
      </rPr>
      <t>N2OMD,b</t>
    </r>
  </si>
  <si>
    <r>
      <t>t CO</t>
    </r>
    <r>
      <rPr>
        <b/>
        <vertAlign val="subscript"/>
        <sz val="10"/>
        <color rgb="FF000000"/>
        <rFont val="Arial"/>
        <family val="2"/>
      </rPr>
      <t>2</t>
    </r>
    <r>
      <rPr>
        <b/>
        <sz val="10"/>
        <color rgb="FF000000"/>
        <rFont val="Arial"/>
        <family val="2"/>
      </rPr>
      <t>e</t>
    </r>
  </si>
  <si>
    <t>Calculated</t>
    <phoneticPr fontId="2" type="noConversion"/>
  </si>
  <si>
    <r>
      <t>BE</t>
    </r>
    <r>
      <rPr>
        <b/>
        <i/>
        <vertAlign val="subscript"/>
        <sz val="10"/>
        <color theme="1"/>
        <rFont val="Arial"/>
        <family val="2"/>
      </rPr>
      <t>D,N2OMD,b</t>
    </r>
  </si>
  <si>
    <t>t N2O</t>
  </si>
  <si>
    <r>
      <t>BE</t>
    </r>
    <r>
      <rPr>
        <b/>
        <i/>
        <vertAlign val="subscript"/>
        <sz val="10"/>
        <color theme="1"/>
        <rFont val="Arial"/>
        <family val="2"/>
      </rPr>
      <t>ID,N2OMD,b</t>
    </r>
  </si>
  <si>
    <r>
      <t>BE</t>
    </r>
    <r>
      <rPr>
        <b/>
        <i/>
        <vertAlign val="subscript"/>
        <sz val="10"/>
        <color theme="1"/>
        <rFont val="Arial"/>
        <family val="2"/>
      </rPr>
      <t>CH4MD,b</t>
    </r>
  </si>
  <si>
    <r>
      <t>t CO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e</t>
    </r>
  </si>
  <si>
    <t>kg livestock mass/head</t>
  </si>
  <si>
    <t>kg N deposited /(t livestock mass*day)</t>
  </si>
  <si>
    <t>hour</t>
  </si>
  <si>
    <t>kg N volatilized/kg of N deposited</t>
  </si>
  <si>
    <t>PRA</t>
  </si>
  <si>
    <r>
      <t>PE</t>
    </r>
    <r>
      <rPr>
        <b/>
        <i/>
        <vertAlign val="subscript"/>
        <sz val="10"/>
        <color theme="1"/>
        <rFont val="Arial"/>
        <family val="2"/>
      </rPr>
      <t>N2OMD,t</t>
    </r>
  </si>
  <si>
    <r>
      <t>PE</t>
    </r>
    <r>
      <rPr>
        <b/>
        <i/>
        <vertAlign val="subscript"/>
        <sz val="10"/>
        <color theme="1"/>
        <rFont val="Arial"/>
        <family val="2"/>
      </rPr>
      <t>D,N2OMD,t</t>
    </r>
  </si>
  <si>
    <r>
      <t>PE</t>
    </r>
    <r>
      <rPr>
        <b/>
        <i/>
        <vertAlign val="subscript"/>
        <sz val="10"/>
        <color theme="1"/>
        <rFont val="Arial"/>
        <family val="2"/>
      </rPr>
      <t>ID,N2OMD,t</t>
    </r>
  </si>
  <si>
    <r>
      <t>PE</t>
    </r>
    <r>
      <rPr>
        <b/>
        <i/>
        <vertAlign val="subscript"/>
        <sz val="10"/>
        <color theme="1"/>
        <rFont val="Arial"/>
        <family val="2"/>
      </rPr>
      <t>CH4MD,b</t>
    </r>
  </si>
  <si>
    <r>
      <t>PE</t>
    </r>
    <r>
      <rPr>
        <b/>
        <i/>
        <vertAlign val="subscript"/>
        <sz val="10"/>
        <color theme="1"/>
        <rFont val="Arial"/>
        <family val="2"/>
      </rPr>
      <t>CH4MD,t</t>
    </r>
  </si>
  <si>
    <t xml:space="preserve">Baseline N2O emissions from manure and urine deposited on grassland soil in baseline year b </t>
  </si>
  <si>
    <t xml:space="preserve">Baseline CH4 emissions from manure and urine deposited on grassland soil in baseline year b </t>
  </si>
  <si>
    <r>
      <t>EF</t>
    </r>
    <r>
      <rPr>
        <vertAlign val="subscript"/>
        <sz val="11"/>
        <color theme="1"/>
        <rFont val="Arial"/>
        <family val="2"/>
      </rPr>
      <t>3,PRP,CPP</t>
    </r>
  </si>
  <si>
    <t xml:space="preserve">N2O emission factor for sheep and other animals manure and urine deposited on grassland soil during the grazing season </t>
  </si>
  <si>
    <r>
      <t>EF</t>
    </r>
    <r>
      <rPr>
        <vertAlign val="subscript"/>
        <sz val="11"/>
        <color theme="1"/>
        <rFont val="Arial"/>
        <family val="2"/>
      </rPr>
      <t>3,PRP,SO</t>
    </r>
  </si>
  <si>
    <t xml:space="preserve">Nitrogen excretion of livestock type l </t>
  </si>
  <si>
    <t xml:space="preserve">Average weight of livestock type l in baseline year b </t>
  </si>
  <si>
    <t xml:space="preserve">Fraction of volatilization from manure and urine deposited by grazing animals as NH3 and NOX </t>
  </si>
  <si>
    <r>
      <t>Frac</t>
    </r>
    <r>
      <rPr>
        <vertAlign val="subscript"/>
        <sz val="11"/>
        <color theme="1"/>
        <rFont val="Arial"/>
        <family val="2"/>
      </rPr>
      <t>GAS,MD</t>
    </r>
  </si>
  <si>
    <r>
      <t>H</t>
    </r>
    <r>
      <rPr>
        <vertAlign val="subscript"/>
        <sz val="11"/>
        <color theme="1"/>
        <rFont val="Arial"/>
        <family val="2"/>
      </rPr>
      <t>l,b</t>
    </r>
  </si>
  <si>
    <r>
      <t>W</t>
    </r>
    <r>
      <rPr>
        <vertAlign val="subscript"/>
        <sz val="11"/>
        <color theme="1"/>
        <rFont val="Arial"/>
        <family val="2"/>
      </rPr>
      <t>l,b</t>
    </r>
  </si>
  <si>
    <r>
      <t>N</t>
    </r>
    <r>
      <rPr>
        <vertAlign val="subscript"/>
        <sz val="11"/>
        <color theme="1"/>
        <rFont val="Arial"/>
        <family val="2"/>
      </rPr>
      <t>exl</t>
    </r>
  </si>
  <si>
    <t xml:space="preserve">N2O emission factor for cattle, poultry and pigs manure and urine deposited on grassland soil during the grazing season </t>
  </si>
  <si>
    <r>
      <t>kg N</t>
    </r>
    <r>
      <rPr>
        <vertAlign val="subscript"/>
        <sz val="11"/>
        <color rgb="FF000000"/>
        <rFont val="Arial"/>
        <family val="2"/>
      </rPr>
      <t>2</t>
    </r>
    <r>
      <rPr>
        <sz val="11"/>
        <color rgb="FF000000"/>
        <rFont val="Arial"/>
        <family val="2"/>
      </rPr>
      <t>O-N/kg N input</t>
    </r>
  </si>
  <si>
    <r>
      <t xml:space="preserve">Average grazing hours per day for livestock type </t>
    </r>
    <r>
      <rPr>
        <i/>
        <sz val="11"/>
        <color theme="1"/>
        <rFont val="Arial"/>
        <family val="2"/>
      </rPr>
      <t xml:space="preserve">l </t>
    </r>
    <r>
      <rPr>
        <sz val="11"/>
        <color theme="1"/>
        <rFont val="Arial"/>
        <family val="2"/>
      </rPr>
      <t xml:space="preserve">in baseline year </t>
    </r>
    <r>
      <rPr>
        <i/>
        <sz val="11"/>
        <color theme="1"/>
        <rFont val="Arial"/>
        <family val="2"/>
      </rPr>
      <t xml:space="preserve">b </t>
    </r>
  </si>
  <si>
    <t xml:space="preserve">Project N2O emissions from manure and urine deposited on grassland soil in year t </t>
  </si>
  <si>
    <t xml:space="preserve">Project CH4 emissions from manure and urine deposited on grassland soil in year t </t>
  </si>
  <si>
    <t>Baseline direct N2O emissions due to fertilizer use in baseline year b</t>
  </si>
  <si>
    <t>2018 (01 July 2018 to 31 December 2018)</t>
  </si>
  <si>
    <t>2038 (01 January 2018 to 30 June 2038)</t>
  </si>
  <si>
    <t>MAX</t>
  </si>
  <si>
    <t xml:space="preserve">SOC content                               (g C/kg soil) </t>
  </si>
  <si>
    <t>Duration (days)</t>
  </si>
  <si>
    <r>
      <t>BE</t>
    </r>
    <r>
      <rPr>
        <b/>
        <vertAlign val="subscript"/>
        <sz val="11"/>
        <color theme="1"/>
        <rFont val="Calibri"/>
        <family val="2"/>
        <scheme val="minor"/>
      </rPr>
      <t>N2OSN,b</t>
    </r>
  </si>
  <si>
    <r>
      <t>BE</t>
    </r>
    <r>
      <rPr>
        <b/>
        <vertAlign val="subscript"/>
        <sz val="11"/>
        <color theme="1"/>
        <rFont val="Calibri"/>
        <family val="2"/>
        <scheme val="minor"/>
      </rPr>
      <t>BB,b</t>
    </r>
  </si>
  <si>
    <r>
      <t>BBE</t>
    </r>
    <r>
      <rPr>
        <b/>
        <vertAlign val="subscript"/>
        <sz val="11"/>
        <color theme="1"/>
        <rFont val="Calibri"/>
        <family val="2"/>
        <scheme val="minor"/>
      </rPr>
      <t>CH4,EF,b</t>
    </r>
  </si>
  <si>
    <r>
      <t>BRWP</t>
    </r>
    <r>
      <rPr>
        <b/>
        <vertAlign val="subscript"/>
        <sz val="11"/>
        <color theme="1"/>
        <rFont val="Calibri"/>
        <family val="2"/>
        <scheme val="minor"/>
      </rPr>
      <t>b</t>
    </r>
  </si>
  <si>
    <r>
      <t>BE</t>
    </r>
    <r>
      <rPr>
        <b/>
        <vertAlign val="subscript"/>
        <sz val="11"/>
        <color theme="1"/>
        <rFont val="Calibri"/>
        <family val="2"/>
        <scheme val="minor"/>
      </rPr>
      <t>b</t>
    </r>
  </si>
  <si>
    <t>Duration )(days)</t>
  </si>
  <si>
    <t>Average weights based on IPCC 2006 (Table 10 A2)</t>
  </si>
  <si>
    <t>Duration (years)</t>
  </si>
  <si>
    <t>Total Duration (years)</t>
  </si>
  <si>
    <r>
      <t>P</t>
    </r>
    <r>
      <rPr>
        <b/>
        <vertAlign val="subscript"/>
        <sz val="9"/>
        <color theme="1"/>
        <rFont val="Arial"/>
        <family val="2"/>
      </rPr>
      <t>mG ,t</t>
    </r>
    <r>
      <rPr>
        <b/>
        <sz val="9"/>
        <color theme="1"/>
        <rFont val="Arial"/>
        <family val="2"/>
      </rPr>
      <t xml:space="preserve"> (Pt)</t>
    </r>
  </si>
  <si>
    <r>
      <t>PR</t>
    </r>
    <r>
      <rPr>
        <b/>
        <vertAlign val="subscript"/>
        <sz val="9"/>
        <color theme="1"/>
        <rFont val="Arial"/>
        <family val="2"/>
      </rPr>
      <t>t</t>
    </r>
  </si>
  <si>
    <t>FS</t>
  </si>
  <si>
    <t>EC</t>
  </si>
  <si>
    <t>Not calculated as per Methodology</t>
  </si>
  <si>
    <t xml:space="preserve">Not calculated as per Methodology </t>
  </si>
  <si>
    <t>A. Baseline N2O and CH4 emissions due to manure management</t>
  </si>
  <si>
    <r>
      <t>A.1  Baseline N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O emissions from manure management</t>
    </r>
  </si>
  <si>
    <r>
      <t>A.1.1 Baseline direct N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O emissions from manure and urine deposited on grassland soil</t>
    </r>
  </si>
  <si>
    <r>
      <t>A.1.2 Baseline indirect N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O emissions from urine and manure N deposited on grassland soils</t>
    </r>
  </si>
  <si>
    <r>
      <t>A.2 Baseline CH</t>
    </r>
    <r>
      <rPr>
        <b/>
        <vertAlign val="subscript"/>
        <sz val="10"/>
        <color theme="1"/>
        <rFont val="Arial"/>
        <family val="2"/>
      </rPr>
      <t>4</t>
    </r>
    <r>
      <rPr>
        <b/>
        <sz val="10"/>
        <color theme="1"/>
        <rFont val="Arial"/>
        <family val="2"/>
      </rPr>
      <t xml:space="preserve"> emissions from manure management</t>
    </r>
  </si>
  <si>
    <r>
      <t>A.1 Project N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>O emissions from manure management</t>
    </r>
  </si>
  <si>
    <t>-28.26832</t>
  </si>
  <si>
    <t>-28.26835</t>
  </si>
  <si>
    <t>Sampling Date</t>
  </si>
  <si>
    <r>
      <t>PE</t>
    </r>
    <r>
      <rPr>
        <b/>
        <i/>
        <vertAlign val="subscript"/>
        <sz val="10"/>
        <color theme="1"/>
        <rFont val="Arial"/>
        <family val="2"/>
      </rPr>
      <t>GHGMD,t</t>
    </r>
  </si>
  <si>
    <r>
      <t>PE</t>
    </r>
    <r>
      <rPr>
        <vertAlign val="subscript"/>
        <sz val="9"/>
        <rFont val="Arial"/>
        <family val="2"/>
      </rPr>
      <t>GHGMD,t</t>
    </r>
  </si>
  <si>
    <t>“Soil data_baseline</t>
  </si>
  <si>
    <t>Net anthropogenic GHG emission reductions</t>
  </si>
  <si>
    <t>Average</t>
  </si>
  <si>
    <r>
      <t>BE</t>
    </r>
    <r>
      <rPr>
        <vertAlign val="subscript"/>
        <sz val="11"/>
        <color theme="1"/>
        <rFont val="Calibri (Body)"/>
      </rPr>
      <t>GHGMD,b</t>
    </r>
  </si>
  <si>
    <r>
      <t>BE</t>
    </r>
    <r>
      <rPr>
        <vertAlign val="subscript"/>
        <sz val="10"/>
        <color theme="1"/>
        <rFont val="Arial"/>
        <family val="2"/>
      </rPr>
      <t>N2OMD,b</t>
    </r>
  </si>
  <si>
    <r>
      <t>BE</t>
    </r>
    <r>
      <rPr>
        <vertAlign val="subscript"/>
        <sz val="10"/>
        <color theme="1"/>
        <rFont val="Arial"/>
        <family val="2"/>
      </rPr>
      <t>CH4MD,b</t>
    </r>
  </si>
  <si>
    <r>
      <t>BE</t>
    </r>
    <r>
      <rPr>
        <vertAlign val="subscript"/>
        <sz val="11"/>
        <color theme="1"/>
        <rFont val="Calibri"/>
        <family val="2"/>
        <scheme val="minor"/>
      </rPr>
      <t>CH4,EF,b</t>
    </r>
  </si>
  <si>
    <t>Intensionally kept blank for privacy and commercial sensitive issue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</si>
</sst>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0.0"/>
    <numFmt numFmtId="165" formatCode="0.000"/>
    <numFmt numFmtId="166" formatCode="0.000000"/>
    <numFmt numFmtId="167" formatCode="0.000000000"/>
    <numFmt numFmtId="168" formatCode="0.00_);[Red]\(0.00\)"/>
    <numFmt numFmtId="169" formatCode="#,##0.00_ "/>
    <numFmt numFmtId="170" formatCode="[$-13C09]d/m/yyyy;@"/>
    <numFmt numFmtId="171" formatCode="#,##0_ "/>
    <numFmt numFmtId="172" formatCode="0_ "/>
    <numFmt numFmtId="173" formatCode="0.00000"/>
  </numFmts>
  <fonts count="5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Arial"/>
      <family val="2"/>
    </font>
    <font>
      <vertAlign val="subscript"/>
      <sz val="9"/>
      <color theme="1"/>
      <name val="Arial"/>
      <family val="2"/>
    </font>
    <font>
      <sz val="9"/>
      <name val="Arial"/>
      <family val="2"/>
    </font>
    <font>
      <sz val="10"/>
      <name val="Arial Narrow"/>
      <family val="2"/>
    </font>
    <font>
      <b/>
      <vertAlign val="subscript"/>
      <sz val="9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.5"/>
      <color rgb="FFFFFFFF"/>
      <name val="Franklin Gothic Book"/>
      <family val="2"/>
    </font>
    <font>
      <b/>
      <vertAlign val="subscript"/>
      <sz val="10.5"/>
      <color rgb="FFFFFFFF"/>
      <name val="Franklin Gothic Book"/>
      <family val="2"/>
    </font>
    <font>
      <vertAlign val="subscript"/>
      <sz val="9"/>
      <name val="Arial"/>
      <family val="2"/>
    </font>
    <font>
      <b/>
      <vertAlign val="subscript"/>
      <sz val="11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b/>
      <i/>
      <sz val="11"/>
      <color theme="1"/>
      <name val="Calibri"/>
      <family val="2"/>
      <scheme val="minor"/>
    </font>
    <font>
      <b/>
      <sz val="10"/>
      <name val="Arial Narrow"/>
      <family val="2"/>
    </font>
    <font>
      <sz val="9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i/>
      <sz val="11"/>
      <color theme="1"/>
      <name val="Arial"/>
      <family val="2"/>
    </font>
    <font>
      <sz val="10.5"/>
      <color theme="1"/>
      <name val="Franklin Gothic Book"/>
      <family val="2"/>
    </font>
    <font>
      <vertAlign val="subscript"/>
      <sz val="10.5"/>
      <color theme="1"/>
      <name val="Franklin Gothic Book"/>
      <family val="2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vertAlign val="subscript"/>
      <sz val="10"/>
      <color theme="1"/>
      <name val="Arial"/>
      <family val="2"/>
    </font>
    <font>
      <b/>
      <sz val="10"/>
      <color rgb="FF000000"/>
      <name val="Arial"/>
      <family val="2"/>
    </font>
    <font>
      <b/>
      <vertAlign val="subscript"/>
      <sz val="10"/>
      <color rgb="FF000000"/>
      <name val="Arial"/>
      <family val="2"/>
    </font>
    <font>
      <sz val="10"/>
      <color rgb="FF000000"/>
      <name val="Arial"/>
      <family val="2"/>
    </font>
    <font>
      <vertAlign val="subscript"/>
      <sz val="10"/>
      <color rgb="FF000000"/>
      <name val="Arial"/>
      <family val="2"/>
    </font>
    <font>
      <sz val="11"/>
      <color rgb="FF000000"/>
      <name val="Arial"/>
      <family val="2"/>
    </font>
    <font>
      <vertAlign val="subscript"/>
      <sz val="11"/>
      <color rgb="FF000000"/>
      <name val="Arial"/>
      <family val="2"/>
    </font>
    <font>
      <sz val="10.5"/>
      <color theme="1"/>
      <name val="Cambria Math"/>
      <family val="1"/>
    </font>
    <font>
      <b/>
      <sz val="10.5"/>
      <color theme="1"/>
      <name val="Franklin Gothic Book"/>
      <family val="2"/>
    </font>
    <font>
      <b/>
      <vertAlign val="subscript"/>
      <sz val="9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vertAlign val="subscript"/>
      <sz val="11"/>
      <color theme="1"/>
      <name val="Calibri (Body)"/>
    </font>
    <font>
      <vertAlign val="subscript"/>
      <sz val="10"/>
      <color theme="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395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CBE1C3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2" fillId="0" borderId="0"/>
    <xf numFmtId="43" fontId="12" fillId="0" borderId="0" applyFont="0" applyFill="0" applyBorder="0" applyAlignment="0" applyProtection="0"/>
  </cellStyleXfs>
  <cellXfs count="699">
    <xf numFmtId="0" fontId="0" fillId="0" borderId="0" xfId="0"/>
    <xf numFmtId="0" fontId="0" fillId="0" borderId="0" xfId="0" applyAlignment="1">
      <alignment vertical="top" wrapText="1"/>
    </xf>
    <xf numFmtId="0" fontId="4" fillId="0" borderId="0" xfId="0" applyFont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/>
    </xf>
    <xf numFmtId="0" fontId="7" fillId="4" borderId="5" xfId="0" applyFont="1" applyFill="1" applyBorder="1" applyAlignment="1">
      <alignment horizontal="center" vertical="top" wrapText="1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2" fontId="0" fillId="4" borderId="1" xfId="0" applyNumberFormat="1" applyFill="1" applyBorder="1"/>
    <xf numFmtId="0" fontId="0" fillId="4" borderId="10" xfId="0" applyFill="1" applyBorder="1" applyAlignment="1">
      <alignment horizontal="center"/>
    </xf>
    <xf numFmtId="0" fontId="0" fillId="4" borderId="11" xfId="0" applyFill="1" applyBorder="1"/>
    <xf numFmtId="0" fontId="0" fillId="5" borderId="10" xfId="0" applyFill="1" applyBorder="1" applyAlignment="1">
      <alignment horizontal="center"/>
    </xf>
    <xf numFmtId="0" fontId="0" fillId="5" borderId="1" xfId="0" applyFill="1" applyBorder="1"/>
    <xf numFmtId="0" fontId="0" fillId="5" borderId="1" xfId="0" applyFill="1" applyBorder="1" applyAlignment="1">
      <alignment horizontal="center"/>
    </xf>
    <xf numFmtId="2" fontId="0" fillId="5" borderId="1" xfId="0" applyNumberFormat="1" applyFill="1" applyBorder="1"/>
    <xf numFmtId="0" fontId="0" fillId="5" borderId="11" xfId="0" applyFill="1" applyBorder="1"/>
    <xf numFmtId="0" fontId="0" fillId="4" borderId="5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1" xfId="0" applyFill="1" applyBorder="1"/>
    <xf numFmtId="0" fontId="0" fillId="6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11" fillId="7" borderId="1" xfId="0" applyFont="1" applyFill="1" applyBorder="1" applyAlignment="1">
      <alignment vertical="top" wrapText="1"/>
    </xf>
    <xf numFmtId="2" fontId="11" fillId="8" borderId="1" xfId="0" applyNumberFormat="1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12" fillId="0" borderId="0" xfId="1"/>
    <xf numFmtId="0" fontId="12" fillId="0" borderId="0" xfId="1" applyAlignment="1">
      <alignment horizontal="center"/>
    </xf>
    <xf numFmtId="0" fontId="1" fillId="9" borderId="1" xfId="1" applyFont="1" applyFill="1" applyBorder="1" applyAlignment="1">
      <alignment horizontal="center" vertical="top" wrapText="1"/>
    </xf>
    <xf numFmtId="2" fontId="0" fillId="10" borderId="1" xfId="0" applyNumberFormat="1" applyFill="1" applyBorder="1" applyAlignment="1">
      <alignment horizontal="center" vertical="top"/>
    </xf>
    <xf numFmtId="0" fontId="12" fillId="0" borderId="1" xfId="1" applyBorder="1" applyAlignment="1">
      <alignment horizontal="center" vertical="top"/>
    </xf>
    <xf numFmtId="0" fontId="12" fillId="0" borderId="0" xfId="1" applyAlignment="1">
      <alignment vertical="top"/>
    </xf>
    <xf numFmtId="0" fontId="12" fillId="0" borderId="0" xfId="1" applyAlignment="1">
      <alignment horizontal="center" vertical="top"/>
    </xf>
    <xf numFmtId="0" fontId="0" fillId="0" borderId="0" xfId="0" applyAlignment="1">
      <alignment horizontal="center" vertical="top"/>
    </xf>
    <xf numFmtId="0" fontId="12" fillId="0" borderId="1" xfId="1" applyBorder="1"/>
    <xf numFmtId="0" fontId="0" fillId="10" borderId="1" xfId="0" applyFill="1" applyBorder="1" applyAlignment="1">
      <alignment horizontal="center" vertical="top"/>
    </xf>
    <xf numFmtId="0" fontId="4" fillId="0" borderId="5" xfId="0" applyFont="1" applyBorder="1"/>
    <xf numFmtId="0" fontId="6" fillId="0" borderId="5" xfId="0" applyFont="1" applyBorder="1" applyAlignment="1">
      <alignment horizontal="center"/>
    </xf>
    <xf numFmtId="2" fontId="0" fillId="0" borderId="0" xfId="0" applyNumberFormat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0" fontId="16" fillId="0" borderId="1" xfId="0" applyFont="1" applyBorder="1" applyAlignment="1">
      <alignment vertical="center"/>
    </xf>
    <xf numFmtId="0" fontId="4" fillId="0" borderId="4" xfId="0" applyFont="1" applyBorder="1" applyAlignment="1">
      <alignment horizontal="center" vertical="top" wrapText="1"/>
    </xf>
    <xf numFmtId="0" fontId="0" fillId="4" borderId="5" xfId="0" applyFill="1" applyBorder="1" applyAlignment="1">
      <alignment vertical="top" wrapText="1"/>
    </xf>
    <xf numFmtId="0" fontId="3" fillId="3" borderId="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vertical="top" wrapText="1"/>
    </xf>
    <xf numFmtId="0" fontId="0" fillId="5" borderId="5" xfId="0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center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16" fillId="0" borderId="5" xfId="0" applyFont="1" applyBorder="1" applyAlignment="1">
      <alignment vertical="center"/>
    </xf>
    <xf numFmtId="0" fontId="9" fillId="0" borderId="1" xfId="0" applyFont="1" applyBorder="1"/>
    <xf numFmtId="0" fontId="10" fillId="0" borderId="1" xfId="0" applyFont="1" applyBorder="1"/>
    <xf numFmtId="0" fontId="3" fillId="3" borderId="10" xfId="0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horizontal="center"/>
    </xf>
    <xf numFmtId="0" fontId="10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right" vertical="top" wrapText="1"/>
    </xf>
    <xf numFmtId="1" fontId="0" fillId="4" borderId="1" xfId="0" applyNumberFormat="1" applyFill="1" applyBorder="1"/>
    <xf numFmtId="0" fontId="0" fillId="0" borderId="11" xfId="0" applyBorder="1"/>
    <xf numFmtId="0" fontId="10" fillId="0" borderId="1" xfId="0" applyFont="1" applyBorder="1" applyAlignment="1">
      <alignment horizontal="center" vertical="top" wrapText="1"/>
    </xf>
    <xf numFmtId="1" fontId="0" fillId="0" borderId="1" xfId="0" applyNumberFormat="1" applyBorder="1" applyAlignment="1">
      <alignment horizontal="right" vertical="top" wrapText="1"/>
    </xf>
    <xf numFmtId="164" fontId="0" fillId="0" borderId="0" xfId="0" applyNumberFormat="1"/>
    <xf numFmtId="2" fontId="4" fillId="0" borderId="1" xfId="0" applyNumberFormat="1" applyFont="1" applyBorder="1"/>
    <xf numFmtId="2" fontId="4" fillId="0" borderId="5" xfId="0" applyNumberFormat="1" applyFont="1" applyBorder="1"/>
    <xf numFmtId="2" fontId="4" fillId="0" borderId="12" xfId="0" applyNumberFormat="1" applyFont="1" applyBorder="1"/>
    <xf numFmtId="2" fontId="4" fillId="0" borderId="14" xfId="0" applyNumberFormat="1" applyFont="1" applyBorder="1"/>
    <xf numFmtId="2" fontId="4" fillId="0" borderId="0" xfId="0" applyNumberFormat="1" applyFont="1"/>
    <xf numFmtId="1" fontId="0" fillId="0" borderId="0" xfId="0" applyNumberFormat="1"/>
    <xf numFmtId="0" fontId="12" fillId="0" borderId="1" xfId="1" applyBorder="1" applyAlignment="1">
      <alignment horizontal="center"/>
    </xf>
    <xf numFmtId="0" fontId="18" fillId="12" borderId="17" xfId="0" applyFont="1" applyFill="1" applyBorder="1" applyAlignment="1">
      <alignment horizontal="center" vertical="center" wrapText="1"/>
    </xf>
    <xf numFmtId="0" fontId="18" fillId="12" borderId="0" xfId="0" applyFont="1" applyFill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2" fontId="6" fillId="0" borderId="20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165" fontId="4" fillId="0" borderId="1" xfId="0" applyNumberFormat="1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2" fontId="0" fillId="5" borderId="1" xfId="0" applyNumberFormat="1" applyFill="1" applyBorder="1" applyAlignment="1">
      <alignment horizontal="center"/>
    </xf>
    <xf numFmtId="0" fontId="0" fillId="0" borderId="0" xfId="0" applyAlignment="1">
      <alignment vertical="top"/>
    </xf>
    <xf numFmtId="0" fontId="1" fillId="0" borderId="0" xfId="0" applyFont="1"/>
    <xf numFmtId="0" fontId="0" fillId="0" borderId="1" xfId="0" applyBorder="1" applyAlignment="1">
      <alignment horizontal="center" vertical="top" wrapText="1"/>
    </xf>
    <xf numFmtId="9" fontId="0" fillId="0" borderId="0" xfId="0" applyNumberFormat="1"/>
    <xf numFmtId="165" fontId="0" fillId="0" borderId="0" xfId="0" applyNumberFormat="1"/>
    <xf numFmtId="0" fontId="0" fillId="10" borderId="9" xfId="0" applyFill="1" applyBorder="1" applyAlignment="1">
      <alignment horizontal="center" vertical="top"/>
    </xf>
    <xf numFmtId="0" fontId="1" fillId="0" borderId="1" xfId="1" applyFont="1" applyBorder="1" applyAlignment="1">
      <alignment horizontal="center"/>
    </xf>
    <xf numFmtId="2" fontId="0" fillId="0" borderId="1" xfId="0" applyNumberFormat="1" applyBorder="1"/>
    <xf numFmtId="165" fontId="0" fillId="14" borderId="1" xfId="0" applyNumberFormat="1" applyFill="1" applyBorder="1"/>
    <xf numFmtId="164" fontId="0" fillId="0" borderId="1" xfId="0" applyNumberFormat="1" applyBorder="1"/>
    <xf numFmtId="165" fontId="0" fillId="0" borderId="1" xfId="0" applyNumberFormat="1" applyBorder="1"/>
    <xf numFmtId="1" fontId="0" fillId="0" borderId="1" xfId="0" applyNumberFormat="1" applyBorder="1"/>
    <xf numFmtId="0" fontId="0" fillId="2" borderId="6" xfId="0" applyFill="1" applyBorder="1" applyAlignment="1">
      <alignment horizontal="center" vertical="center" wrapText="1"/>
    </xf>
    <xf numFmtId="0" fontId="1" fillId="0" borderId="0" xfId="1" applyFont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4" borderId="4" xfId="0" applyFill="1" applyBorder="1" applyAlignment="1">
      <alignment horizontal="center"/>
    </xf>
    <xf numFmtId="0" fontId="10" fillId="0" borderId="0" xfId="0" applyFont="1" applyAlignment="1">
      <alignment vertical="top" wrapText="1"/>
    </xf>
    <xf numFmtId="0" fontId="0" fillId="5" borderId="4" xfId="0" applyFill="1" applyBorder="1" applyAlignment="1">
      <alignment horizont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6" borderId="1" xfId="0" applyFill="1" applyBorder="1"/>
    <xf numFmtId="0" fontId="4" fillId="4" borderId="1" xfId="0" applyFont="1" applyFill="1" applyBorder="1" applyAlignment="1">
      <alignment vertical="top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0" fontId="4" fillId="5" borderId="1" xfId="0" applyFont="1" applyFill="1" applyBorder="1"/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/>
    <xf numFmtId="1" fontId="0" fillId="6" borderId="1" xfId="0" applyNumberFormat="1" applyFill="1" applyBorder="1"/>
    <xf numFmtId="0" fontId="0" fillId="6" borderId="1" xfId="0" applyFill="1" applyBorder="1" applyAlignment="1">
      <alignment horizontal="center"/>
    </xf>
    <xf numFmtId="0" fontId="10" fillId="6" borderId="1" xfId="0" applyFont="1" applyFill="1" applyBorder="1"/>
    <xf numFmtId="0" fontId="9" fillId="6" borderId="1" xfId="0" applyFont="1" applyFill="1" applyBorder="1"/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7" fillId="0" borderId="1" xfId="0" applyFont="1" applyBorder="1"/>
    <xf numFmtId="0" fontId="11" fillId="15" borderId="1" xfId="0" applyFont="1" applyFill="1" applyBorder="1" applyAlignment="1">
      <alignment horizontal="center" vertical="center"/>
    </xf>
    <xf numFmtId="0" fontId="24" fillId="15" borderId="1" xfId="0" applyFont="1" applyFill="1" applyBorder="1" applyAlignment="1">
      <alignment horizontal="right" vertical="center"/>
    </xf>
    <xf numFmtId="165" fontId="24" fillId="15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3" borderId="1" xfId="0" applyFont="1" applyFill="1" applyBorder="1"/>
    <xf numFmtId="0" fontId="3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167" fontId="0" fillId="0" borderId="1" xfId="0" applyNumberFormat="1" applyBorder="1"/>
    <xf numFmtId="0" fontId="25" fillId="0" borderId="0" xfId="0" applyFont="1" applyAlignment="1">
      <alignment horizontal="center" vertical="top"/>
    </xf>
    <xf numFmtId="0" fontId="24" fillId="0" borderId="1" xfId="0" applyFont="1" applyBorder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164" fontId="0" fillId="0" borderId="1" xfId="0" applyNumberForma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top"/>
    </xf>
    <xf numFmtId="164" fontId="0" fillId="0" borderId="0" xfId="0" applyNumberFormat="1" applyAlignment="1">
      <alignment horizontal="center"/>
    </xf>
    <xf numFmtId="1" fontId="0" fillId="0" borderId="1" xfId="0" applyNumberFormat="1" applyBorder="1" applyAlignment="1">
      <alignment horizontal="center" vertical="top" wrapText="1"/>
    </xf>
    <xf numFmtId="166" fontId="0" fillId="0" borderId="0" xfId="0" applyNumberFormat="1"/>
    <xf numFmtId="0" fontId="0" fillId="0" borderId="0" xfId="0" applyAlignment="1">
      <alignment horizontal="center" vertical="top" wrapText="1"/>
    </xf>
    <xf numFmtId="1" fontId="0" fillId="0" borderId="1" xfId="0" applyNumberFormat="1" applyBorder="1" applyAlignment="1">
      <alignment horizontal="center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top"/>
    </xf>
    <xf numFmtId="164" fontId="4" fillId="0" borderId="1" xfId="0" applyNumberFormat="1" applyFont="1" applyBorder="1" applyAlignment="1">
      <alignment horizontal="center" vertical="top"/>
    </xf>
    <xf numFmtId="164" fontId="4" fillId="0" borderId="4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vertical="top"/>
    </xf>
    <xf numFmtId="166" fontId="4" fillId="0" borderId="4" xfId="0" applyNumberFormat="1" applyFont="1" applyBorder="1" applyAlignment="1">
      <alignment vertical="top"/>
    </xf>
    <xf numFmtId="1" fontId="4" fillId="0" borderId="1" xfId="0" applyNumberFormat="1" applyFont="1" applyBorder="1" applyAlignment="1">
      <alignment horizontal="center" vertical="top"/>
    </xf>
    <xf numFmtId="1" fontId="6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166" fontId="4" fillId="0" borderId="4" xfId="0" applyNumberFormat="1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25" fillId="0" borderId="21" xfId="0" applyFont="1" applyBorder="1" applyAlignment="1">
      <alignment horizontal="center" vertical="top"/>
    </xf>
    <xf numFmtId="164" fontId="25" fillId="0" borderId="21" xfId="0" applyNumberFormat="1" applyFont="1" applyBorder="1" applyAlignment="1">
      <alignment horizontal="center" vertical="top"/>
    </xf>
    <xf numFmtId="164" fontId="25" fillId="0" borderId="3" xfId="0" applyNumberFormat="1" applyFont="1" applyBorder="1" applyAlignment="1">
      <alignment horizontal="center" vertical="top"/>
    </xf>
    <xf numFmtId="0" fontId="6" fillId="0" borderId="21" xfId="0" applyFont="1" applyBorder="1" applyAlignment="1">
      <alignment horizontal="left" vertical="top" wrapText="1"/>
    </xf>
    <xf numFmtId="1" fontId="25" fillId="0" borderId="21" xfId="0" applyNumberFormat="1" applyFont="1" applyBorder="1" applyAlignment="1">
      <alignment horizontal="center" vertical="top" wrapText="1"/>
    </xf>
    <xf numFmtId="166" fontId="25" fillId="0" borderId="3" xfId="0" applyNumberFormat="1" applyFont="1" applyBorder="1" applyAlignment="1">
      <alignment horizontal="center" vertical="top"/>
    </xf>
    <xf numFmtId="1" fontId="25" fillId="0" borderId="21" xfId="0" applyNumberFormat="1" applyFont="1" applyBorder="1" applyAlignment="1">
      <alignment horizontal="center" vertical="top"/>
    </xf>
    <xf numFmtId="1" fontId="6" fillId="0" borderId="21" xfId="0" applyNumberFormat="1" applyFont="1" applyBorder="1" applyAlignment="1">
      <alignment horizontal="center" vertical="top" wrapText="1"/>
    </xf>
    <xf numFmtId="0" fontId="25" fillId="0" borderId="21" xfId="0" applyFont="1" applyBorder="1" applyAlignment="1">
      <alignment horizontal="left" vertical="top"/>
    </xf>
    <xf numFmtId="0" fontId="25" fillId="0" borderId="6" xfId="0" applyFont="1" applyBorder="1" applyAlignment="1">
      <alignment horizontal="center" vertical="top"/>
    </xf>
    <xf numFmtId="0" fontId="25" fillId="0" borderId="21" xfId="0" applyFont="1" applyBorder="1" applyAlignment="1">
      <alignment vertical="top"/>
    </xf>
    <xf numFmtId="0" fontId="25" fillId="0" borderId="21" xfId="0" applyFont="1" applyBorder="1" applyAlignment="1">
      <alignment vertical="top" wrapText="1"/>
    </xf>
    <xf numFmtId="0" fontId="6" fillId="0" borderId="21" xfId="0" applyFont="1" applyBorder="1" applyAlignment="1">
      <alignment horizontal="center" vertical="top" wrapText="1"/>
    </xf>
    <xf numFmtId="0" fontId="6" fillId="0" borderId="21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27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vertical="center"/>
    </xf>
    <xf numFmtId="0" fontId="0" fillId="0" borderId="6" xfId="0" applyBorder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1" applyFont="1"/>
    <xf numFmtId="0" fontId="0" fillId="0" borderId="0" xfId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3" fillId="0" borderId="0" xfId="0" applyFont="1"/>
    <xf numFmtId="0" fontId="0" fillId="0" borderId="0" xfId="1" applyFont="1" applyAlignment="1">
      <alignment horizontal="right"/>
    </xf>
    <xf numFmtId="40" fontId="1" fillId="0" borderId="0" xfId="0" applyNumberFormat="1" applyFont="1" applyAlignment="1">
      <alignment horizontal="center" vertical="center"/>
    </xf>
    <xf numFmtId="0" fontId="33" fillId="0" borderId="0" xfId="1" applyFont="1"/>
    <xf numFmtId="0" fontId="0" fillId="0" borderId="0" xfId="0" applyAlignment="1">
      <alignment horizontal="right"/>
    </xf>
    <xf numFmtId="168" fontId="0" fillId="0" borderId="0" xfId="0" applyNumberFormat="1" applyAlignment="1">
      <alignment horizontal="center" vertical="center"/>
    </xf>
    <xf numFmtId="40" fontId="0" fillId="0" borderId="0" xfId="1" applyNumberFormat="1" applyFont="1"/>
    <xf numFmtId="2" fontId="0" fillId="0" borderId="0" xfId="1" applyNumberFormat="1" applyFont="1"/>
    <xf numFmtId="0" fontId="0" fillId="0" borderId="0" xfId="0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169" fontId="1" fillId="0" borderId="0" xfId="0" applyNumberFormat="1" applyFont="1" applyAlignment="1">
      <alignment horizontal="center" vertical="center"/>
    </xf>
    <xf numFmtId="168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32" fillId="0" borderId="0" xfId="0" applyFont="1" applyAlignment="1">
      <alignment horizontal="center" vertical="center"/>
    </xf>
    <xf numFmtId="170" fontId="0" fillId="0" borderId="0" xfId="0" applyNumberFormat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38" fontId="0" fillId="0" borderId="0" xfId="2" applyNumberFormat="1" applyFont="1" applyFill="1" applyBorder="1" applyAlignment="1">
      <alignment horizontal="center" vertical="center"/>
    </xf>
    <xf numFmtId="0" fontId="0" fillId="0" borderId="0" xfId="1" applyFont="1" applyAlignment="1">
      <alignment vertical="top"/>
    </xf>
    <xf numFmtId="0" fontId="0" fillId="0" borderId="0" xfId="1" applyFont="1" applyAlignment="1">
      <alignment vertical="top" wrapText="1"/>
    </xf>
    <xf numFmtId="0" fontId="0" fillId="0" borderId="0" xfId="1" applyFont="1" applyAlignment="1">
      <alignment horizontal="right" vertical="top" wrapText="1"/>
    </xf>
    <xf numFmtId="0" fontId="0" fillId="0" borderId="0" xfId="1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0" fontId="34" fillId="16" borderId="4" xfId="0" applyFont="1" applyFill="1" applyBorder="1" applyAlignment="1">
      <alignment horizontal="center" vertical="center"/>
    </xf>
    <xf numFmtId="0" fontId="34" fillId="16" borderId="8" xfId="0" applyFont="1" applyFill="1" applyBorder="1" applyAlignment="1">
      <alignment horizontal="center" vertical="center"/>
    </xf>
    <xf numFmtId="0" fontId="34" fillId="16" borderId="1" xfId="0" applyFont="1" applyFill="1" applyBorder="1" applyAlignment="1">
      <alignment horizontal="center" vertical="center"/>
    </xf>
    <xf numFmtId="1" fontId="34" fillId="0" borderId="1" xfId="0" applyNumberFormat="1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72" fontId="34" fillId="0" borderId="1" xfId="0" applyNumberFormat="1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34" fillId="16" borderId="1" xfId="0" applyFont="1" applyFill="1" applyBorder="1" applyAlignment="1">
      <alignment horizontal="center" vertical="center" wrapText="1"/>
    </xf>
    <xf numFmtId="0" fontId="34" fillId="16" borderId="23" xfId="0" applyFont="1" applyFill="1" applyBorder="1" applyAlignment="1">
      <alignment vertical="center"/>
    </xf>
    <xf numFmtId="0" fontId="34" fillId="16" borderId="21" xfId="0" applyFont="1" applyFill="1" applyBorder="1" applyAlignment="1">
      <alignment vertical="center"/>
    </xf>
    <xf numFmtId="0" fontId="27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left" vertical="center"/>
    </xf>
    <xf numFmtId="0" fontId="29" fillId="0" borderId="1" xfId="0" applyFont="1" applyBorder="1" applyAlignment="1">
      <alignment vertical="center"/>
    </xf>
    <xf numFmtId="0" fontId="1" fillId="9" borderId="5" xfId="1" applyFont="1" applyFill="1" applyBorder="1" applyAlignment="1">
      <alignment horizontal="center" vertical="top" wrapText="1"/>
    </xf>
    <xf numFmtId="0" fontId="44" fillId="0" borderId="0" xfId="0" applyFont="1"/>
    <xf numFmtId="0" fontId="4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12" fillId="0" borderId="1" xfId="1" applyBorder="1" applyAlignment="1">
      <alignment vertical="top"/>
    </xf>
    <xf numFmtId="0" fontId="12" fillId="13" borderId="0" xfId="1" applyFill="1"/>
    <xf numFmtId="2" fontId="0" fillId="0" borderId="0" xfId="0" applyNumberFormat="1" applyAlignment="1">
      <alignment horizontal="center" vertical="top"/>
    </xf>
    <xf numFmtId="14" fontId="0" fillId="0" borderId="1" xfId="0" applyNumberFormat="1" applyBorder="1" applyAlignment="1">
      <alignment horizontal="center"/>
    </xf>
    <xf numFmtId="0" fontId="36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1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14" fontId="14" fillId="0" borderId="1" xfId="0" applyNumberFormat="1" applyFont="1" applyBorder="1" applyAlignment="1">
      <alignment horizontal="center" vertical="center"/>
    </xf>
    <xf numFmtId="0" fontId="1" fillId="14" borderId="1" xfId="0" applyFont="1" applyFill="1" applyBorder="1" applyAlignment="1">
      <alignment horizontal="center" vertical="center"/>
    </xf>
    <xf numFmtId="0" fontId="1" fillId="14" borderId="1" xfId="1" applyFont="1" applyFill="1" applyBorder="1" applyAlignment="1">
      <alignment horizontal="center" vertical="center" wrapText="1"/>
    </xf>
    <xf numFmtId="0" fontId="15" fillId="14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15" fillId="14" borderId="1" xfId="0" applyFont="1" applyFill="1" applyBorder="1" applyAlignment="1">
      <alignment horizontal="center" vertical="center"/>
    </xf>
    <xf numFmtId="2" fontId="12" fillId="0" borderId="1" xfId="1" applyNumberFormat="1" applyBorder="1" applyAlignment="1">
      <alignment horizontal="right"/>
    </xf>
    <xf numFmtId="0" fontId="0" fillId="0" borderId="1" xfId="0" applyBorder="1" applyAlignment="1">
      <alignment horizontal="right" vertical="center"/>
    </xf>
    <xf numFmtId="40" fontId="0" fillId="0" borderId="1" xfId="0" applyNumberFormat="1" applyBorder="1" applyAlignment="1">
      <alignment horizontal="right" vertical="center"/>
    </xf>
    <xf numFmtId="0" fontId="12" fillId="0" borderId="1" xfId="1" applyBorder="1" applyAlignment="1">
      <alignment horizontal="right"/>
    </xf>
    <xf numFmtId="2" fontId="12" fillId="0" borderId="1" xfId="1" applyNumberFormat="1" applyBorder="1"/>
    <xf numFmtId="0" fontId="1" fillId="14" borderId="5" xfId="1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horizontal="center" vertical="center"/>
    </xf>
    <xf numFmtId="2" fontId="12" fillId="0" borderId="25" xfId="1" applyNumberFormat="1" applyBorder="1" applyAlignment="1">
      <alignment horizontal="right"/>
    </xf>
    <xf numFmtId="0" fontId="0" fillId="0" borderId="25" xfId="0" applyBorder="1" applyAlignment="1">
      <alignment horizontal="right" vertical="center"/>
    </xf>
    <xf numFmtId="40" fontId="0" fillId="0" borderId="25" xfId="0" applyNumberFormat="1" applyBorder="1" applyAlignment="1">
      <alignment horizontal="right" vertical="center"/>
    </xf>
    <xf numFmtId="0" fontId="12" fillId="0" borderId="25" xfId="1" applyBorder="1" applyAlignment="1">
      <alignment horizontal="right"/>
    </xf>
    <xf numFmtId="0" fontId="12" fillId="0" borderId="26" xfId="1" applyBorder="1" applyAlignment="1">
      <alignment horizontal="right"/>
    </xf>
    <xf numFmtId="0" fontId="12" fillId="0" borderId="28" xfId="1" applyBorder="1" applyAlignment="1">
      <alignment horizontal="right"/>
    </xf>
    <xf numFmtId="2" fontId="12" fillId="0" borderId="30" xfId="1" applyNumberFormat="1" applyBorder="1" applyAlignment="1">
      <alignment horizontal="right"/>
    </xf>
    <xf numFmtId="0" fontId="0" fillId="0" borderId="30" xfId="0" applyBorder="1" applyAlignment="1">
      <alignment horizontal="right" vertical="center"/>
    </xf>
    <xf numFmtId="40" fontId="0" fillId="0" borderId="30" xfId="0" applyNumberFormat="1" applyBorder="1" applyAlignment="1">
      <alignment horizontal="right" vertical="center"/>
    </xf>
    <xf numFmtId="2" fontId="12" fillId="0" borderId="30" xfId="1" applyNumberFormat="1" applyBorder="1"/>
    <xf numFmtId="40" fontId="0" fillId="0" borderId="40" xfId="0" applyNumberFormat="1" applyBorder="1" applyAlignment="1">
      <alignment horizontal="right" vertical="center"/>
    </xf>
    <xf numFmtId="40" fontId="0" fillId="0" borderId="4" xfId="0" applyNumberFormat="1" applyBorder="1" applyAlignment="1">
      <alignment horizontal="right" vertical="center"/>
    </xf>
    <xf numFmtId="2" fontId="12" fillId="0" borderId="4" xfId="1" applyNumberFormat="1" applyBorder="1"/>
    <xf numFmtId="2" fontId="12" fillId="0" borderId="38" xfId="1" applyNumberFormat="1" applyBorder="1"/>
    <xf numFmtId="40" fontId="0" fillId="0" borderId="5" xfId="0" applyNumberFormat="1" applyBorder="1" applyAlignment="1">
      <alignment horizontal="right" vertical="center"/>
    </xf>
    <xf numFmtId="0" fontId="12" fillId="0" borderId="47" xfId="1" applyBorder="1" applyAlignment="1">
      <alignment horizontal="right"/>
    </xf>
    <xf numFmtId="2" fontId="12" fillId="0" borderId="48" xfId="1" applyNumberFormat="1" applyBorder="1"/>
    <xf numFmtId="2" fontId="12" fillId="0" borderId="19" xfId="1" applyNumberFormat="1" applyBorder="1"/>
    <xf numFmtId="0" fontId="12" fillId="0" borderId="49" xfId="1" applyBorder="1" applyAlignment="1">
      <alignment horizontal="right"/>
    </xf>
    <xf numFmtId="2" fontId="12" fillId="0" borderId="50" xfId="1" applyNumberFormat="1" applyBorder="1"/>
    <xf numFmtId="0" fontId="12" fillId="0" borderId="5" xfId="1" applyBorder="1" applyAlignment="1">
      <alignment horizontal="right"/>
    </xf>
    <xf numFmtId="0" fontId="12" fillId="0" borderId="48" xfId="1" applyBorder="1" applyAlignment="1">
      <alignment horizontal="right"/>
    </xf>
    <xf numFmtId="0" fontId="12" fillId="0" borderId="19" xfId="1" applyBorder="1" applyAlignment="1">
      <alignment horizontal="right"/>
    </xf>
    <xf numFmtId="0" fontId="12" fillId="0" borderId="50" xfId="1" applyBorder="1" applyAlignment="1">
      <alignment horizontal="right"/>
    </xf>
    <xf numFmtId="0" fontId="12" fillId="0" borderId="42" xfId="1" applyBorder="1" applyAlignment="1">
      <alignment horizontal="right"/>
    </xf>
    <xf numFmtId="2" fontId="12" fillId="0" borderId="5" xfId="1" applyNumberFormat="1" applyBorder="1" applyAlignment="1">
      <alignment horizontal="right"/>
    </xf>
    <xf numFmtId="2" fontId="12" fillId="0" borderId="5" xfId="1" applyNumberFormat="1" applyBorder="1"/>
    <xf numFmtId="2" fontId="12" fillId="0" borderId="9" xfId="1" applyNumberFormat="1" applyBorder="1"/>
    <xf numFmtId="0" fontId="12" fillId="0" borderId="51" xfId="1" applyBorder="1" applyAlignment="1">
      <alignment horizontal="right"/>
    </xf>
    <xf numFmtId="2" fontId="12" fillId="0" borderId="52" xfId="1" applyNumberFormat="1" applyBorder="1"/>
    <xf numFmtId="40" fontId="0" fillId="0" borderId="38" xfId="0" applyNumberFormat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40" fontId="0" fillId="0" borderId="9" xfId="0" applyNumberFormat="1" applyBorder="1" applyAlignment="1">
      <alignment horizontal="right" vertical="center"/>
    </xf>
    <xf numFmtId="168" fontId="0" fillId="0" borderId="0" xfId="1" applyNumberFormat="1" applyFont="1"/>
    <xf numFmtId="0" fontId="47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42" fillId="0" borderId="0" xfId="0" applyFont="1" applyAlignment="1">
      <alignment horizontal="center" vertical="center"/>
    </xf>
    <xf numFmtId="0" fontId="48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" fillId="0" borderId="0" xfId="1" applyFont="1"/>
    <xf numFmtId="0" fontId="1" fillId="0" borderId="0" xfId="0" applyFont="1" applyAlignment="1">
      <alignment horizontal="center"/>
    </xf>
    <xf numFmtId="0" fontId="12" fillId="0" borderId="25" xfId="1" applyBorder="1" applyAlignment="1">
      <alignment horizontal="center" vertical="top" wrapText="1"/>
    </xf>
    <xf numFmtId="0" fontId="12" fillId="0" borderId="1" xfId="1" applyBorder="1" applyAlignment="1">
      <alignment horizontal="center" vertical="top" wrapText="1"/>
    </xf>
    <xf numFmtId="0" fontId="12" fillId="0" borderId="30" xfId="1" applyBorder="1" applyAlignment="1">
      <alignment horizontal="center" vertical="top" wrapText="1"/>
    </xf>
    <xf numFmtId="0" fontId="12" fillId="0" borderId="5" xfId="1" applyBorder="1" applyAlignment="1">
      <alignment horizontal="center" vertical="top" wrapText="1"/>
    </xf>
    <xf numFmtId="14" fontId="12" fillId="0" borderId="25" xfId="1" applyNumberFormat="1" applyBorder="1" applyAlignment="1">
      <alignment horizontal="center" vertical="top" wrapText="1"/>
    </xf>
    <xf numFmtId="173" fontId="0" fillId="0" borderId="25" xfId="1" applyNumberFormat="1" applyFont="1" applyBorder="1" applyAlignment="1">
      <alignment horizontal="right" vertical="top" wrapText="1"/>
    </xf>
    <xf numFmtId="0" fontId="12" fillId="0" borderId="25" xfId="0" applyFont="1" applyBorder="1" applyAlignment="1">
      <alignment horizontal="center"/>
    </xf>
    <xf numFmtId="0" fontId="12" fillId="0" borderId="25" xfId="1" applyBorder="1" applyAlignment="1">
      <alignment horizontal="center" vertical="top"/>
    </xf>
    <xf numFmtId="0" fontId="12" fillId="0" borderId="25" xfId="1" applyBorder="1" applyAlignment="1">
      <alignment horizontal="center"/>
    </xf>
    <xf numFmtId="2" fontId="12" fillId="0" borderId="26" xfId="0" applyNumberFormat="1" applyFont="1" applyBorder="1" applyAlignment="1">
      <alignment horizontal="center"/>
    </xf>
    <xf numFmtId="14" fontId="12" fillId="0" borderId="1" xfId="1" applyNumberFormat="1" applyBorder="1" applyAlignment="1">
      <alignment horizontal="center" vertical="top" wrapText="1"/>
    </xf>
    <xf numFmtId="173" fontId="0" fillId="0" borderId="1" xfId="1" applyNumberFormat="1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/>
    </xf>
    <xf numFmtId="2" fontId="12" fillId="0" borderId="28" xfId="0" applyNumberFormat="1" applyFont="1" applyBorder="1" applyAlignment="1">
      <alignment horizontal="center"/>
    </xf>
    <xf numFmtId="14" fontId="12" fillId="0" borderId="30" xfId="1" applyNumberFormat="1" applyBorder="1" applyAlignment="1">
      <alignment horizontal="center" vertical="top" wrapText="1"/>
    </xf>
    <xf numFmtId="173" fontId="0" fillId="0" borderId="30" xfId="1" applyNumberFormat="1" applyFont="1" applyBorder="1" applyAlignment="1">
      <alignment horizontal="right" vertical="top" wrapText="1"/>
    </xf>
    <xf numFmtId="0" fontId="12" fillId="0" borderId="30" xfId="0" applyFont="1" applyBorder="1" applyAlignment="1">
      <alignment horizontal="center"/>
    </xf>
    <xf numFmtId="0" fontId="12" fillId="0" borderId="30" xfId="1" applyBorder="1" applyAlignment="1">
      <alignment horizontal="center" vertical="top"/>
    </xf>
    <xf numFmtId="0" fontId="12" fillId="0" borderId="30" xfId="1" applyBorder="1" applyAlignment="1">
      <alignment horizontal="center"/>
    </xf>
    <xf numFmtId="2" fontId="12" fillId="0" borderId="31" xfId="0" applyNumberFormat="1" applyFont="1" applyBorder="1" applyAlignment="1">
      <alignment horizontal="center"/>
    </xf>
    <xf numFmtId="14" fontId="12" fillId="0" borderId="23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top"/>
    </xf>
    <xf numFmtId="0" fontId="12" fillId="0" borderId="6" xfId="0" applyFont="1" applyBorder="1" applyAlignment="1">
      <alignment horizontal="center"/>
    </xf>
    <xf numFmtId="0" fontId="12" fillId="0" borderId="6" xfId="1" applyBorder="1" applyAlignment="1">
      <alignment horizontal="center"/>
    </xf>
    <xf numFmtId="2" fontId="12" fillId="0" borderId="43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 vertical="center" wrapText="1"/>
    </xf>
    <xf numFmtId="14" fontId="12" fillId="0" borderId="4" xfId="0" applyNumberFormat="1" applyFont="1" applyBorder="1" applyAlignment="1">
      <alignment horizontal="center" vertical="center" wrapText="1"/>
    </xf>
    <xf numFmtId="173" fontId="0" fillId="0" borderId="1" xfId="0" applyNumberFormat="1" applyBorder="1" applyAlignment="1">
      <alignment horizontal="right" vertical="center" wrapText="1"/>
    </xf>
    <xf numFmtId="0" fontId="12" fillId="0" borderId="8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/>
    </xf>
    <xf numFmtId="0" fontId="0" fillId="0" borderId="1" xfId="1" applyFont="1" applyBorder="1" applyAlignment="1">
      <alignment horizontal="center"/>
    </xf>
    <xf numFmtId="0" fontId="12" fillId="0" borderId="38" xfId="0" applyFont="1" applyBorder="1" applyAlignment="1">
      <alignment horizontal="center" vertical="center" wrapText="1"/>
    </xf>
    <xf numFmtId="173" fontId="0" fillId="0" borderId="30" xfId="0" applyNumberFormat="1" applyBorder="1" applyAlignment="1">
      <alignment horizontal="right" vertical="center" wrapText="1"/>
    </xf>
    <xf numFmtId="0" fontId="12" fillId="0" borderId="39" xfId="0" applyFont="1" applyBorder="1" applyAlignment="1">
      <alignment horizontal="center" vertical="top"/>
    </xf>
    <xf numFmtId="0" fontId="12" fillId="0" borderId="30" xfId="0" applyFont="1" applyBorder="1" applyAlignment="1">
      <alignment horizontal="center" vertical="top"/>
    </xf>
    <xf numFmtId="0" fontId="12" fillId="0" borderId="6" xfId="1" applyBorder="1" applyAlignment="1">
      <alignment horizontal="center" vertical="top" wrapText="1"/>
    </xf>
    <xf numFmtId="14" fontId="12" fillId="0" borderId="6" xfId="1" applyNumberFormat="1" applyBorder="1" applyAlignment="1">
      <alignment horizontal="center" vertical="top" wrapText="1"/>
    </xf>
    <xf numFmtId="173" fontId="32" fillId="0" borderId="6" xfId="0" applyNumberFormat="1" applyFont="1" applyBorder="1" applyAlignment="1">
      <alignment horizontal="right" vertical="center" wrapText="1"/>
    </xf>
    <xf numFmtId="173" fontId="32" fillId="0" borderId="21" xfId="0" applyNumberFormat="1" applyFont="1" applyBorder="1" applyAlignment="1">
      <alignment horizontal="right" vertical="center" wrapText="1"/>
    </xf>
    <xf numFmtId="0" fontId="12" fillId="0" borderId="25" xfId="0" applyFont="1" applyBorder="1" applyAlignment="1">
      <alignment horizontal="center" vertical="top"/>
    </xf>
    <xf numFmtId="0" fontId="12" fillId="0" borderId="0" xfId="0" applyFont="1" applyAlignment="1">
      <alignment horizontal="center"/>
    </xf>
    <xf numFmtId="14" fontId="12" fillId="0" borderId="5" xfId="1" applyNumberFormat="1" applyBorder="1" applyAlignment="1">
      <alignment horizontal="center" vertical="top" wrapText="1"/>
    </xf>
    <xf numFmtId="173" fontId="32" fillId="0" borderId="25" xfId="0" applyNumberFormat="1" applyFont="1" applyBorder="1" applyAlignment="1">
      <alignment horizontal="right" vertical="top" wrapText="1"/>
    </xf>
    <xf numFmtId="173" fontId="32" fillId="0" borderId="32" xfId="0" applyNumberFormat="1" applyFont="1" applyBorder="1" applyAlignment="1">
      <alignment horizontal="right" vertical="top" wrapText="1"/>
    </xf>
    <xf numFmtId="173" fontId="32" fillId="0" borderId="6" xfId="0" applyNumberFormat="1" applyFont="1" applyBorder="1" applyAlignment="1">
      <alignment horizontal="right" vertical="top" wrapText="1"/>
    </xf>
    <xf numFmtId="173" fontId="32" fillId="0" borderId="21" xfId="0" applyNumberFormat="1" applyFont="1" applyBorder="1" applyAlignment="1">
      <alignment horizontal="right" vertical="top" wrapText="1"/>
    </xf>
    <xf numFmtId="173" fontId="32" fillId="0" borderId="37" xfId="0" applyNumberFormat="1" applyFont="1" applyBorder="1" applyAlignment="1">
      <alignment horizontal="right" vertical="top" wrapText="1"/>
    </xf>
    <xf numFmtId="173" fontId="32" fillId="0" borderId="46" xfId="0" applyNumberFormat="1" applyFont="1" applyBorder="1" applyAlignment="1">
      <alignment horizontal="right" vertical="top" wrapText="1"/>
    </xf>
    <xf numFmtId="0" fontId="12" fillId="0" borderId="25" xfId="1" applyBorder="1" applyAlignment="1">
      <alignment horizontal="center" vertical="center"/>
    </xf>
    <xf numFmtId="0" fontId="12" fillId="0" borderId="1" xfId="1" applyBorder="1" applyAlignment="1">
      <alignment horizontal="center" vertical="center"/>
    </xf>
    <xf numFmtId="0" fontId="12" fillId="0" borderId="9" xfId="1" applyBorder="1" applyAlignment="1">
      <alignment horizontal="center" vertical="top" wrapText="1"/>
    </xf>
    <xf numFmtId="0" fontId="12" fillId="0" borderId="22" xfId="1" applyBorder="1" applyAlignment="1">
      <alignment horizontal="center" vertical="top"/>
    </xf>
    <xf numFmtId="0" fontId="12" fillId="0" borderId="5" xfId="1" applyBorder="1" applyAlignment="1">
      <alignment horizontal="center" vertical="center"/>
    </xf>
    <xf numFmtId="0" fontId="12" fillId="0" borderId="5" xfId="1" applyBorder="1" applyAlignment="1">
      <alignment horizontal="center" vertical="top"/>
    </xf>
    <xf numFmtId="0" fontId="12" fillId="0" borderId="5" xfId="1" applyBorder="1" applyAlignment="1">
      <alignment horizontal="center"/>
    </xf>
    <xf numFmtId="2" fontId="12" fillId="0" borderId="42" xfId="0" applyNumberFormat="1" applyFont="1" applyBorder="1" applyAlignment="1">
      <alignment horizontal="center"/>
    </xf>
    <xf numFmtId="0" fontId="12" fillId="0" borderId="40" xfId="1" applyBorder="1" applyAlignment="1">
      <alignment horizontal="center" vertical="top" wrapText="1"/>
    </xf>
    <xf numFmtId="14" fontId="12" fillId="0" borderId="40" xfId="1" applyNumberFormat="1" applyBorder="1" applyAlignment="1">
      <alignment horizontal="center" vertical="top" wrapText="1"/>
    </xf>
    <xf numFmtId="173" fontId="0" fillId="0" borderId="25" xfId="0" applyNumberFormat="1" applyBorder="1" applyAlignment="1">
      <alignment horizontal="right"/>
    </xf>
    <xf numFmtId="0" fontId="12" fillId="0" borderId="32" xfId="1" applyBorder="1" applyAlignment="1">
      <alignment horizontal="center" vertical="top"/>
    </xf>
    <xf numFmtId="0" fontId="12" fillId="0" borderId="4" xfId="1" applyBorder="1" applyAlignment="1">
      <alignment horizontal="center" vertical="top" wrapText="1"/>
    </xf>
    <xf numFmtId="173" fontId="0" fillId="0" borderId="1" xfId="0" applyNumberFormat="1" applyBorder="1" applyAlignment="1">
      <alignment horizontal="right"/>
    </xf>
    <xf numFmtId="0" fontId="12" fillId="0" borderId="8" xfId="1" applyBorder="1" applyAlignment="1">
      <alignment horizontal="center" vertical="top"/>
    </xf>
    <xf numFmtId="0" fontId="12" fillId="0" borderId="38" xfId="1" applyBorder="1" applyAlignment="1">
      <alignment horizontal="center" vertical="top" wrapText="1"/>
    </xf>
    <xf numFmtId="0" fontId="0" fillId="0" borderId="1" xfId="1" applyFont="1" applyBorder="1" applyAlignment="1">
      <alignment horizontal="center" vertical="top"/>
    </xf>
    <xf numFmtId="0" fontId="12" fillId="0" borderId="40" xfId="0" applyFont="1" applyBorder="1" applyAlignment="1">
      <alignment horizontal="center" vertical="center" wrapText="1"/>
    </xf>
    <xf numFmtId="14" fontId="12" fillId="0" borderId="40" xfId="0" applyNumberFormat="1" applyFont="1" applyBorder="1" applyAlignment="1">
      <alignment horizontal="center" vertical="center" wrapText="1"/>
    </xf>
    <xf numFmtId="2" fontId="12" fillId="0" borderId="25" xfId="0" applyNumberFormat="1" applyFont="1" applyBorder="1" applyAlignment="1">
      <alignment horizontal="center" vertical="top"/>
    </xf>
    <xf numFmtId="2" fontId="12" fillId="0" borderId="25" xfId="0" applyNumberFormat="1" applyFont="1" applyBorder="1" applyAlignment="1">
      <alignment horizontal="center"/>
    </xf>
    <xf numFmtId="2" fontId="12" fillId="0" borderId="25" xfId="1" applyNumberFormat="1" applyBorder="1" applyAlignment="1">
      <alignment horizontal="center"/>
    </xf>
    <xf numFmtId="173" fontId="0" fillId="0" borderId="30" xfId="0" applyNumberFormat="1" applyBorder="1" applyAlignment="1">
      <alignment horizontal="right"/>
    </xf>
    <xf numFmtId="0" fontId="12" fillId="0" borderId="39" xfId="1" applyBorder="1" applyAlignment="1">
      <alignment horizontal="center" vertical="top"/>
    </xf>
    <xf numFmtId="0" fontId="12" fillId="0" borderId="25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1" applyNumberFormat="1" applyBorder="1" applyAlignment="1">
      <alignment horizontal="center" vertical="top"/>
    </xf>
    <xf numFmtId="2" fontId="12" fillId="0" borderId="1" xfId="1" applyNumberFormat="1" applyBorder="1" applyAlignment="1">
      <alignment horizontal="center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top"/>
    </xf>
    <xf numFmtId="0" fontId="32" fillId="0" borderId="8" xfId="0" applyFont="1" applyBorder="1" applyAlignment="1">
      <alignment horizontal="center" vertical="top"/>
    </xf>
    <xf numFmtId="0" fontId="32" fillId="0" borderId="8" xfId="0" applyFont="1" applyBorder="1" applyAlignment="1">
      <alignment horizontal="center"/>
    </xf>
    <xf numFmtId="0" fontId="32" fillId="0" borderId="6" xfId="0" applyFont="1" applyBorder="1" applyAlignment="1">
      <alignment horizontal="center" vertical="top"/>
    </xf>
    <xf numFmtId="0" fontId="32" fillId="0" borderId="21" xfId="0" applyFont="1" applyBorder="1" applyAlignment="1">
      <alignment horizontal="center" vertical="top"/>
    </xf>
    <xf numFmtId="0" fontId="32" fillId="0" borderId="21" xfId="0" applyFont="1" applyBorder="1" applyAlignment="1">
      <alignment horizontal="center"/>
    </xf>
    <xf numFmtId="0" fontId="12" fillId="0" borderId="5" xfId="0" applyFont="1" applyBorder="1" applyAlignment="1">
      <alignment horizontal="center" vertical="top"/>
    </xf>
    <xf numFmtId="0" fontId="12" fillId="0" borderId="5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42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2" fontId="12" fillId="0" borderId="1" xfId="0" applyNumberFormat="1" applyFont="1" applyBorder="1" applyAlignment="1">
      <alignment horizontal="center" vertical="top"/>
    </xf>
    <xf numFmtId="2" fontId="12" fillId="0" borderId="1" xfId="0" applyNumberFormat="1" applyFont="1" applyBorder="1" applyAlignment="1">
      <alignment horizontal="center"/>
    </xf>
    <xf numFmtId="2" fontId="14" fillId="0" borderId="28" xfId="0" applyNumberFormat="1" applyFont="1" applyBorder="1" applyAlignment="1">
      <alignment horizontal="center"/>
    </xf>
    <xf numFmtId="173" fontId="0" fillId="0" borderId="5" xfId="0" applyNumberFormat="1" applyBorder="1" applyAlignment="1">
      <alignment horizontal="right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0" fillId="0" borderId="25" xfId="0" applyBorder="1" applyAlignment="1">
      <alignment horizontal="center" vertical="top"/>
    </xf>
    <xf numFmtId="0" fontId="0" fillId="0" borderId="25" xfId="0" applyBorder="1" applyAlignment="1">
      <alignment horizontal="center"/>
    </xf>
    <xf numFmtId="14" fontId="12" fillId="0" borderId="30" xfId="0" applyNumberFormat="1" applyFont="1" applyBorder="1" applyAlignment="1">
      <alignment horizontal="center" vertical="center" wrapText="1"/>
    </xf>
    <xf numFmtId="0" fontId="0" fillId="0" borderId="30" xfId="1" applyFont="1" applyBorder="1" applyAlignment="1">
      <alignment horizontal="center" vertical="top"/>
    </xf>
    <xf numFmtId="0" fontId="0" fillId="0" borderId="30" xfId="0" applyBorder="1" applyAlignment="1">
      <alignment horizontal="center" vertical="top"/>
    </xf>
    <xf numFmtId="0" fontId="0" fillId="0" borderId="30" xfId="0" applyBorder="1" applyAlignment="1">
      <alignment horizontal="center"/>
    </xf>
    <xf numFmtId="14" fontId="12" fillId="0" borderId="34" xfId="1" applyNumberForma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center" wrapText="1"/>
    </xf>
    <xf numFmtId="14" fontId="12" fillId="0" borderId="6" xfId="0" applyNumberFormat="1" applyFont="1" applyBorder="1" applyAlignment="1">
      <alignment horizontal="center" vertical="center" wrapText="1"/>
    </xf>
    <xf numFmtId="173" fontId="0" fillId="0" borderId="6" xfId="0" applyNumberFormat="1" applyBorder="1" applyAlignment="1">
      <alignment horizontal="right"/>
    </xf>
    <xf numFmtId="0" fontId="0" fillId="0" borderId="6" xfId="1" applyFon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2" fontId="12" fillId="0" borderId="5" xfId="0" applyNumberFormat="1" applyFont="1" applyBorder="1" applyAlignment="1">
      <alignment horizontal="center" vertical="top"/>
    </xf>
    <xf numFmtId="0" fontId="12" fillId="0" borderId="6" xfId="1" applyBorder="1" applyAlignment="1">
      <alignment horizontal="center" vertical="top"/>
    </xf>
    <xf numFmtId="173" fontId="0" fillId="0" borderId="8" xfId="0" applyNumberFormat="1" applyBorder="1" applyAlignment="1">
      <alignment horizontal="right"/>
    </xf>
    <xf numFmtId="14" fontId="12" fillId="0" borderId="34" xfId="0" applyNumberFormat="1" applyFont="1" applyBorder="1" applyAlignment="1">
      <alignment horizontal="center" vertical="center" wrapText="1"/>
    </xf>
    <xf numFmtId="14" fontId="12" fillId="0" borderId="45" xfId="1" applyNumberFormat="1" applyBorder="1" applyAlignment="1">
      <alignment horizontal="center" vertical="top" wrapText="1"/>
    </xf>
    <xf numFmtId="14" fontId="12" fillId="0" borderId="23" xfId="1" applyNumberFormat="1" applyBorder="1" applyAlignment="1">
      <alignment horizontal="center" vertical="top" wrapText="1"/>
    </xf>
    <xf numFmtId="14" fontId="12" fillId="0" borderId="45" xfId="0" applyNumberFormat="1" applyFont="1" applyBorder="1" applyAlignment="1">
      <alignment horizontal="center" vertical="center" wrapText="1"/>
    </xf>
    <xf numFmtId="14" fontId="12" fillId="0" borderId="38" xfId="0" applyNumberFormat="1" applyFont="1" applyBorder="1" applyAlignment="1">
      <alignment horizontal="center" vertical="center" wrapText="1"/>
    </xf>
    <xf numFmtId="173" fontId="0" fillId="0" borderId="6" xfId="1" applyNumberFormat="1" applyFont="1" applyBorder="1" applyAlignment="1">
      <alignment horizontal="right" vertical="top" wrapText="1"/>
    </xf>
    <xf numFmtId="0" fontId="0" fillId="0" borderId="6" xfId="1" applyFont="1" applyBorder="1" applyAlignment="1">
      <alignment horizontal="center"/>
    </xf>
    <xf numFmtId="173" fontId="0" fillId="0" borderId="5" xfId="1" applyNumberFormat="1" applyFont="1" applyBorder="1" applyAlignment="1">
      <alignment horizontal="right" vertical="top" wrapText="1"/>
    </xf>
    <xf numFmtId="173" fontId="0" fillId="0" borderId="25" xfId="0" applyNumberFormat="1" applyBorder="1" applyAlignment="1">
      <alignment horizontal="right" vertical="center" wrapText="1"/>
    </xf>
    <xf numFmtId="0" fontId="12" fillId="0" borderId="32" xfId="0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5" xfId="1" applyFont="1" applyBorder="1" applyAlignment="1">
      <alignment horizontal="center"/>
    </xf>
    <xf numFmtId="0" fontId="0" fillId="0" borderId="25" xfId="1" applyFont="1" applyBorder="1" applyAlignment="1">
      <alignment horizontal="center"/>
    </xf>
    <xf numFmtId="14" fontId="12" fillId="0" borderId="37" xfId="1" applyNumberFormat="1" applyBorder="1" applyAlignment="1">
      <alignment horizontal="center" vertical="top" wrapText="1"/>
    </xf>
    <xf numFmtId="0" fontId="0" fillId="0" borderId="30" xfId="1" applyFont="1" applyBorder="1" applyAlignment="1">
      <alignment horizontal="center"/>
    </xf>
    <xf numFmtId="2" fontId="14" fillId="0" borderId="43" xfId="0" applyNumberFormat="1" applyFont="1" applyBorder="1" applyAlignment="1">
      <alignment horizontal="center"/>
    </xf>
    <xf numFmtId="2" fontId="14" fillId="0" borderId="31" xfId="0" applyNumberFormat="1" applyFont="1" applyBorder="1" applyAlignment="1">
      <alignment horizontal="center"/>
    </xf>
    <xf numFmtId="0" fontId="49" fillId="0" borderId="0" xfId="0" applyFont="1"/>
    <xf numFmtId="0" fontId="14" fillId="0" borderId="0" xfId="1" applyFont="1"/>
    <xf numFmtId="0" fontId="3" fillId="14" borderId="1" xfId="0" applyFont="1" applyFill="1" applyBorder="1" applyAlignment="1">
      <alignment horizontal="center" vertical="center" wrapText="1"/>
    </xf>
    <xf numFmtId="0" fontId="49" fillId="14" borderId="1" xfId="1" applyFont="1" applyFill="1" applyBorder="1" applyAlignment="1">
      <alignment horizontal="center" vertical="center" wrapText="1"/>
    </xf>
    <xf numFmtId="0" fontId="49" fillId="14" borderId="5" xfId="1" applyFont="1" applyFill="1" applyBorder="1" applyAlignment="1">
      <alignment horizontal="center" vertical="center" wrapText="1"/>
    </xf>
    <xf numFmtId="2" fontId="14" fillId="0" borderId="25" xfId="1" applyNumberFormat="1" applyFont="1" applyBorder="1" applyAlignment="1">
      <alignment horizontal="right" vertical="top" wrapText="1"/>
    </xf>
    <xf numFmtId="2" fontId="14" fillId="0" borderId="1" xfId="1" applyNumberFormat="1" applyFont="1" applyBorder="1" applyAlignment="1">
      <alignment horizontal="right" vertical="top" wrapText="1"/>
    </xf>
    <xf numFmtId="2" fontId="14" fillId="0" borderId="30" xfId="1" applyNumberFormat="1" applyFont="1" applyBorder="1" applyAlignment="1">
      <alignment horizontal="right" vertical="top" wrapText="1"/>
    </xf>
    <xf numFmtId="2" fontId="14" fillId="0" borderId="5" xfId="1" applyNumberFormat="1" applyFont="1" applyBorder="1" applyAlignment="1">
      <alignment horizontal="right" vertical="top" wrapText="1"/>
    </xf>
    <xf numFmtId="0" fontId="14" fillId="0" borderId="0" xfId="1" applyFont="1" applyAlignment="1">
      <alignment horizontal="right" vertical="top" wrapText="1"/>
    </xf>
    <xf numFmtId="0" fontId="14" fillId="0" borderId="0" xfId="1" applyFont="1" applyAlignment="1">
      <alignment vertical="top"/>
    </xf>
    <xf numFmtId="0" fontId="12" fillId="0" borderId="30" xfId="1" applyBorder="1"/>
    <xf numFmtId="0" fontId="12" fillId="0" borderId="38" xfId="1" applyBorder="1"/>
    <xf numFmtId="0" fontId="12" fillId="0" borderId="52" xfId="1" applyBorder="1" applyAlignment="1">
      <alignment horizontal="right"/>
    </xf>
    <xf numFmtId="2" fontId="12" fillId="0" borderId="6" xfId="1" applyNumberFormat="1" applyBorder="1"/>
    <xf numFmtId="0" fontId="6" fillId="0" borderId="15" xfId="0" applyFont="1" applyBorder="1" applyAlignment="1">
      <alignment horizontal="center" vertical="center" wrapText="1"/>
    </xf>
    <xf numFmtId="2" fontId="6" fillId="0" borderId="55" xfId="0" applyNumberFormat="1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2" fontId="0" fillId="0" borderId="60" xfId="0" applyNumberFormat="1" applyBorder="1"/>
    <xf numFmtId="2" fontId="6" fillId="0" borderId="61" xfId="0" applyNumberFormat="1" applyFont="1" applyBorder="1" applyAlignment="1">
      <alignment horizontal="center" vertical="center" wrapText="1"/>
    </xf>
    <xf numFmtId="0" fontId="45" fillId="0" borderId="8" xfId="0" applyFont="1" applyBorder="1" applyAlignment="1">
      <alignment horizontal="center" vertical="center" wrapText="1"/>
    </xf>
    <xf numFmtId="1" fontId="0" fillId="0" borderId="11" xfId="0" applyNumberFormat="1" applyBorder="1"/>
    <xf numFmtId="164" fontId="4" fillId="0" borderId="0" xfId="0" applyNumberFormat="1" applyFont="1"/>
    <xf numFmtId="164" fontId="26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164" fontId="0" fillId="0" borderId="0" xfId="0" applyNumberFormat="1" applyAlignment="1">
      <alignment vertical="top"/>
    </xf>
    <xf numFmtId="164" fontId="6" fillId="0" borderId="21" xfId="0" applyNumberFormat="1" applyFont="1" applyBorder="1" applyAlignment="1">
      <alignment horizontal="center" vertical="top" wrapText="1"/>
    </xf>
    <xf numFmtId="164" fontId="4" fillId="0" borderId="4" xfId="0" applyNumberFormat="1" applyFont="1" applyBorder="1" applyAlignment="1">
      <alignment horizontal="right"/>
    </xf>
    <xf numFmtId="164" fontId="10" fillId="0" borderId="1" xfId="0" applyNumberFormat="1" applyFont="1" applyBorder="1" applyAlignment="1">
      <alignment vertical="top" wrapText="1"/>
    </xf>
    <xf numFmtId="164" fontId="6" fillId="0" borderId="1" xfId="0" applyNumberFormat="1" applyFont="1" applyBorder="1" applyAlignment="1">
      <alignment vertical="top" wrapText="1"/>
    </xf>
    <xf numFmtId="164" fontId="7" fillId="4" borderId="5" xfId="0" applyNumberFormat="1" applyFont="1" applyFill="1" applyBorder="1" applyAlignment="1">
      <alignment horizontal="center" vertical="top" wrapText="1"/>
    </xf>
    <xf numFmtId="164" fontId="0" fillId="4" borderId="11" xfId="0" applyNumberFormat="1" applyFill="1" applyBorder="1" applyAlignment="1">
      <alignment horizontal="center"/>
    </xf>
    <xf numFmtId="164" fontId="0" fillId="5" borderId="5" xfId="0" applyNumberFormat="1" applyFill="1" applyBorder="1" applyAlignment="1">
      <alignment horizontal="center"/>
    </xf>
    <xf numFmtId="164" fontId="0" fillId="5" borderId="11" xfId="0" applyNumberFormat="1" applyFill="1" applyBorder="1" applyAlignment="1">
      <alignment horizontal="center"/>
    </xf>
    <xf numFmtId="164" fontId="0" fillId="4" borderId="5" xfId="0" applyNumberFormat="1" applyFill="1" applyBorder="1" applyAlignment="1">
      <alignment horizontal="center"/>
    </xf>
    <xf numFmtId="164" fontId="0" fillId="6" borderId="5" xfId="0" applyNumberFormat="1" applyFill="1" applyBorder="1" applyAlignment="1">
      <alignment horizontal="center"/>
    </xf>
    <xf numFmtId="164" fontId="0" fillId="6" borderId="11" xfId="0" applyNumberFormat="1" applyFill="1" applyBorder="1" applyAlignment="1">
      <alignment horizontal="center"/>
    </xf>
    <xf numFmtId="164" fontId="0" fillId="4" borderId="9" xfId="0" applyNumberFormat="1" applyFill="1" applyBorder="1" applyAlignment="1">
      <alignment horizontal="center"/>
    </xf>
    <xf numFmtId="164" fontId="0" fillId="0" borderId="0" xfId="1" applyNumberFormat="1" applyFont="1" applyAlignment="1">
      <alignment horizontal="right" vertical="top" wrapText="1"/>
    </xf>
    <xf numFmtId="164" fontId="27" fillId="0" borderId="1" xfId="0" applyNumberFormat="1" applyFont="1" applyBorder="1" applyAlignment="1">
      <alignment horizontal="center" vertical="center" wrapText="1"/>
    </xf>
    <xf numFmtId="165" fontId="27" fillId="0" borderId="0" xfId="0" applyNumberFormat="1" applyFont="1" applyAlignment="1">
      <alignment horizontal="center" vertical="center"/>
    </xf>
    <xf numFmtId="165" fontId="26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27" fillId="0" borderId="1" xfId="0" applyFont="1" applyBorder="1" applyAlignment="1">
      <alignment vertical="center" wrapText="1"/>
    </xf>
    <xf numFmtId="0" fontId="26" fillId="0" borderId="0" xfId="0" applyFont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top" wrapText="1"/>
    </xf>
    <xf numFmtId="0" fontId="4" fillId="5" borderId="11" xfId="0" applyFont="1" applyFill="1" applyBorder="1" applyAlignment="1">
      <alignment horizontal="center" vertical="top" wrapText="1"/>
    </xf>
    <xf numFmtId="0" fontId="4" fillId="5" borderId="6" xfId="0" applyFont="1" applyFill="1" applyBorder="1" applyAlignment="1">
      <alignment horizontal="center" vertical="top" wrapText="1"/>
    </xf>
    <xf numFmtId="164" fontId="4" fillId="5" borderId="5" xfId="0" applyNumberFormat="1" applyFont="1" applyFill="1" applyBorder="1" applyAlignment="1">
      <alignment horizontal="center" vertical="top" wrapText="1"/>
    </xf>
    <xf numFmtId="164" fontId="4" fillId="5" borderId="11" xfId="0" applyNumberFormat="1" applyFont="1" applyFill="1" applyBorder="1" applyAlignment="1">
      <alignment horizontal="center" vertical="top" wrapText="1"/>
    </xf>
    <xf numFmtId="164" fontId="4" fillId="5" borderId="6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164" fontId="6" fillId="4" borderId="1" xfId="0" applyNumberFormat="1" applyFont="1" applyFill="1" applyBorder="1" applyAlignment="1">
      <alignment horizontal="center" vertical="top" wrapText="1"/>
    </xf>
    <xf numFmtId="164" fontId="0" fillId="0" borderId="1" xfId="0" applyNumberForma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top" wrapText="1"/>
    </xf>
    <xf numFmtId="164" fontId="0" fillId="5" borderId="1" xfId="0" applyNumberFormat="1" applyFill="1" applyBorder="1" applyAlignment="1">
      <alignment vertical="top" wrapText="1"/>
    </xf>
    <xf numFmtId="0" fontId="4" fillId="5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25" fillId="0" borderId="5" xfId="0" applyFont="1" applyBorder="1" applyAlignment="1">
      <alignment horizontal="center" vertical="top" wrapText="1"/>
    </xf>
    <xf numFmtId="0" fontId="25" fillId="0" borderId="11" xfId="0" applyFont="1" applyBorder="1" applyAlignment="1">
      <alignment horizontal="center" vertical="top" wrapText="1"/>
    </xf>
    <xf numFmtId="0" fontId="25" fillId="0" borderId="6" xfId="0" applyFont="1" applyBorder="1" applyAlignment="1">
      <alignment horizontal="center" vertical="top" wrapText="1"/>
    </xf>
    <xf numFmtId="0" fontId="25" fillId="0" borderId="5" xfId="0" applyFont="1" applyBorder="1" applyAlignment="1">
      <alignment vertical="top" wrapText="1"/>
    </xf>
    <xf numFmtId="0" fontId="25" fillId="0" borderId="11" xfId="0" applyFont="1" applyBorder="1" applyAlignment="1">
      <alignment vertical="top" wrapText="1"/>
    </xf>
    <xf numFmtId="0" fontId="25" fillId="0" borderId="6" xfId="0" applyFont="1" applyBorder="1" applyAlignment="1">
      <alignment vertical="top" wrapText="1"/>
    </xf>
    <xf numFmtId="164" fontId="25" fillId="0" borderId="5" xfId="0" applyNumberFormat="1" applyFont="1" applyBorder="1" applyAlignment="1">
      <alignment horizontal="center" vertical="top" wrapText="1"/>
    </xf>
    <xf numFmtId="164" fontId="25" fillId="0" borderId="11" xfId="0" applyNumberFormat="1" applyFont="1" applyBorder="1" applyAlignment="1">
      <alignment horizontal="center" vertical="top" wrapText="1"/>
    </xf>
    <xf numFmtId="164" fontId="25" fillId="0" borderId="6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5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0" fillId="0" borderId="15" xfId="0" applyBorder="1" applyAlignment="1">
      <alignment horizontal="right" vertical="center" wrapText="1"/>
    </xf>
    <xf numFmtId="0" fontId="0" fillId="0" borderId="13" xfId="0" applyBorder="1" applyAlignment="1">
      <alignment horizontal="right" vertical="center" wrapText="1"/>
    </xf>
    <xf numFmtId="0" fontId="4" fillId="0" borderId="7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48" fillId="0" borderId="0" xfId="0" applyFont="1" applyAlignment="1">
      <alignment horizontal="left" vertical="center"/>
    </xf>
    <xf numFmtId="0" fontId="36" fillId="0" borderId="4" xfId="0" applyFont="1" applyBorder="1" applyAlignment="1">
      <alignment horizontal="center" vertical="center"/>
    </xf>
    <xf numFmtId="0" fontId="36" fillId="0" borderId="8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16" borderId="4" xfId="0" applyFont="1" applyFill="1" applyBorder="1" applyAlignment="1">
      <alignment horizontal="center" vertical="center"/>
    </xf>
    <xf numFmtId="0" fontId="34" fillId="16" borderId="8" xfId="0" applyFont="1" applyFill="1" applyBorder="1" applyAlignment="1">
      <alignment horizontal="center" vertical="center"/>
    </xf>
    <xf numFmtId="0" fontId="48" fillId="0" borderId="0" xfId="0" applyFont="1" applyAlignment="1">
      <alignment horizontal="left" vertical="center" wrapText="1"/>
    </xf>
    <xf numFmtId="0" fontId="34" fillId="16" borderId="7" xfId="0" applyFont="1" applyFill="1" applyBorder="1" applyAlignment="1">
      <alignment horizontal="center" vertical="center"/>
    </xf>
    <xf numFmtId="0" fontId="34" fillId="16" borderId="9" xfId="0" applyFont="1" applyFill="1" applyBorder="1" applyAlignment="1">
      <alignment horizontal="center" vertical="center"/>
    </xf>
    <xf numFmtId="0" fontId="34" fillId="16" borderId="22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" xfId="0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0" fillId="0" borderId="11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164" fontId="6" fillId="0" borderId="5" xfId="0" applyNumberFormat="1" applyFont="1" applyBorder="1" applyAlignment="1">
      <alignment vertical="top" wrapText="1"/>
    </xf>
    <xf numFmtId="164" fontId="0" fillId="0" borderId="11" xfId="0" applyNumberFormat="1" applyBorder="1" applyAlignment="1">
      <alignment vertical="top" wrapText="1"/>
    </xf>
    <xf numFmtId="164" fontId="0" fillId="0" borderId="6" xfId="0" applyNumberFormat="1" applyBorder="1" applyAlignment="1">
      <alignment vertical="top" wrapText="1"/>
    </xf>
    <xf numFmtId="0" fontId="10" fillId="11" borderId="1" xfId="0" applyFont="1" applyFill="1" applyBorder="1" applyAlignment="1">
      <alignment vertical="top" wrapText="1"/>
    </xf>
    <xf numFmtId="164" fontId="10" fillId="11" borderId="1" xfId="0" applyNumberFormat="1" applyFont="1" applyFill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164" fontId="10" fillId="0" borderId="1" xfId="0" applyNumberFormat="1" applyFont="1" applyBorder="1" applyAlignment="1">
      <alignment vertical="top" wrapText="1"/>
    </xf>
    <xf numFmtId="0" fontId="1" fillId="0" borderId="2" xfId="0" applyFont="1" applyBorder="1" applyAlignment="1">
      <alignment horizontal="right" vertical="top" wrapText="1"/>
    </xf>
    <xf numFmtId="0" fontId="0" fillId="0" borderId="11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164" fontId="6" fillId="0" borderId="11" xfId="0" applyNumberFormat="1" applyFont="1" applyBorder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0" fillId="0" borderId="5" xfId="0" applyBorder="1" applyAlignment="1">
      <alignment vertical="top" wrapText="1"/>
    </xf>
    <xf numFmtId="0" fontId="11" fillId="7" borderId="1" xfId="0" applyFont="1" applyFill="1" applyBorder="1" applyAlignment="1">
      <alignment horizontal="center" vertical="top" wrapText="1"/>
    </xf>
    <xf numFmtId="0" fontId="11" fillId="7" borderId="1" xfId="0" applyFont="1" applyFill="1" applyBorder="1" applyAlignment="1">
      <alignment vertical="top" wrapText="1"/>
    </xf>
    <xf numFmtId="0" fontId="0" fillId="0" borderId="7" xfId="0" applyBorder="1" applyAlignment="1">
      <alignment wrapText="1"/>
    </xf>
    <xf numFmtId="0" fontId="0" fillId="3" borderId="7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2" fillId="0" borderId="24" xfId="1" applyBorder="1" applyAlignment="1">
      <alignment horizontal="center" vertical="top" wrapText="1"/>
    </xf>
    <xf numFmtId="0" fontId="12" fillId="0" borderId="27" xfId="1" applyBorder="1" applyAlignment="1">
      <alignment horizontal="center" vertical="top" wrapText="1"/>
    </xf>
    <xf numFmtId="0" fontId="12" fillId="0" borderId="29" xfId="1" applyBorder="1" applyAlignment="1">
      <alignment horizontal="center" vertical="top" wrapText="1"/>
    </xf>
    <xf numFmtId="0" fontId="12" fillId="0" borderId="25" xfId="1" applyBorder="1" applyAlignment="1">
      <alignment vertical="top" wrapText="1"/>
    </xf>
    <xf numFmtId="0" fontId="12" fillId="0" borderId="1" xfId="1" applyBorder="1" applyAlignment="1">
      <alignment vertical="top" wrapText="1"/>
    </xf>
    <xf numFmtId="0" fontId="12" fillId="0" borderId="30" xfId="1" applyBorder="1" applyAlignment="1">
      <alignment vertical="top" wrapText="1"/>
    </xf>
    <xf numFmtId="164" fontId="12" fillId="0" borderId="40" xfId="1" applyNumberFormat="1" applyBorder="1" applyAlignment="1">
      <alignment vertical="top" wrapText="1"/>
    </xf>
    <xf numFmtId="164" fontId="12" fillId="0" borderId="4" xfId="1" applyNumberFormat="1" applyBorder="1" applyAlignment="1">
      <alignment vertical="top" wrapText="1"/>
    </xf>
    <xf numFmtId="164" fontId="12" fillId="0" borderId="38" xfId="1" applyNumberFormat="1" applyBorder="1" applyAlignment="1">
      <alignment vertical="top" wrapText="1"/>
    </xf>
    <xf numFmtId="0" fontId="12" fillId="0" borderId="25" xfId="1" applyBorder="1" applyAlignment="1">
      <alignment horizontal="center" vertical="top" wrapText="1"/>
    </xf>
    <xf numFmtId="0" fontId="12" fillId="0" borderId="1" xfId="1" applyBorder="1" applyAlignment="1">
      <alignment horizontal="center" vertical="top" wrapText="1"/>
    </xf>
    <xf numFmtId="0" fontId="12" fillId="0" borderId="30" xfId="1" applyBorder="1" applyAlignment="1">
      <alignment horizontal="center" vertical="top" wrapText="1"/>
    </xf>
    <xf numFmtId="0" fontId="12" fillId="0" borderId="41" xfId="1" applyBorder="1" applyAlignment="1">
      <alignment horizontal="center" vertical="top" wrapText="1"/>
    </xf>
    <xf numFmtId="0" fontId="12" fillId="0" borderId="25" xfId="1" applyBorder="1" applyAlignment="1">
      <alignment horizontal="left" vertical="top" wrapText="1"/>
    </xf>
    <xf numFmtId="0" fontId="12" fillId="0" borderId="1" xfId="1" applyBorder="1" applyAlignment="1">
      <alignment horizontal="left" vertical="top" wrapText="1"/>
    </xf>
    <xf numFmtId="0" fontId="12" fillId="0" borderId="5" xfId="1" applyBorder="1" applyAlignment="1">
      <alignment horizontal="left" vertical="top" wrapText="1"/>
    </xf>
    <xf numFmtId="164" fontId="12" fillId="0" borderId="25" xfId="1" applyNumberFormat="1" applyBorder="1" applyAlignment="1">
      <alignment vertical="top" wrapText="1"/>
    </xf>
    <xf numFmtId="164" fontId="12" fillId="0" borderId="1" xfId="1" applyNumberFormat="1" applyBorder="1" applyAlignment="1">
      <alignment vertical="top" wrapText="1"/>
    </xf>
    <xf numFmtId="164" fontId="12" fillId="0" borderId="5" xfId="1" applyNumberFormat="1" applyBorder="1" applyAlignment="1">
      <alignment vertical="top" wrapText="1"/>
    </xf>
    <xf numFmtId="0" fontId="12" fillId="0" borderId="5" xfId="1" applyBorder="1" applyAlignment="1">
      <alignment horizontal="center" vertical="top" wrapText="1"/>
    </xf>
    <xf numFmtId="0" fontId="12" fillId="0" borderId="53" xfId="1" applyBorder="1" applyAlignment="1">
      <alignment horizontal="center" vertical="top" wrapText="1"/>
    </xf>
    <xf numFmtId="0" fontId="12" fillId="0" borderId="6" xfId="1" applyBorder="1" applyAlignment="1">
      <alignment vertical="top" wrapText="1"/>
    </xf>
    <xf numFmtId="0" fontId="12" fillId="0" borderId="5" xfId="1" applyBorder="1" applyAlignment="1">
      <alignment vertical="top" wrapText="1"/>
    </xf>
    <xf numFmtId="164" fontId="12" fillId="0" borderId="6" xfId="1" applyNumberFormat="1" applyBorder="1" applyAlignment="1">
      <alignment vertical="top" wrapText="1"/>
    </xf>
    <xf numFmtId="0" fontId="12" fillId="0" borderId="6" xfId="1" applyBorder="1" applyAlignment="1">
      <alignment horizontal="center" vertical="top" wrapText="1"/>
    </xf>
    <xf numFmtId="0" fontId="12" fillId="0" borderId="58" xfId="1" applyBorder="1" applyAlignment="1">
      <alignment horizontal="center" vertical="top" wrapText="1"/>
    </xf>
    <xf numFmtId="0" fontId="12" fillId="0" borderId="56" xfId="1" applyBorder="1" applyAlignment="1">
      <alignment horizontal="center" vertical="top" wrapText="1"/>
    </xf>
    <xf numFmtId="0" fontId="12" fillId="0" borderId="57" xfId="1" applyBorder="1" applyAlignment="1">
      <alignment horizontal="center" vertical="top" wrapText="1"/>
    </xf>
    <xf numFmtId="164" fontId="12" fillId="0" borderId="30" xfId="1" applyNumberFormat="1" applyBorder="1" applyAlignment="1">
      <alignment vertical="top" wrapText="1"/>
    </xf>
    <xf numFmtId="0" fontId="12" fillId="0" borderId="33" xfId="1" applyBorder="1" applyAlignment="1">
      <alignment horizontal="center" vertical="top" wrapText="1"/>
    </xf>
    <xf numFmtId="0" fontId="12" fillId="0" borderId="35" xfId="1" applyBorder="1" applyAlignment="1">
      <alignment horizontal="center" vertical="top" wrapText="1"/>
    </xf>
    <xf numFmtId="0" fontId="12" fillId="0" borderId="36" xfId="1" applyBorder="1" applyAlignment="1">
      <alignment horizontal="center" vertical="top" wrapText="1"/>
    </xf>
    <xf numFmtId="0" fontId="12" fillId="0" borderId="34" xfId="1" applyBorder="1" applyAlignment="1">
      <alignment horizontal="center" vertical="top" wrapText="1"/>
    </xf>
    <xf numFmtId="0" fontId="12" fillId="0" borderId="11" xfId="1" applyBorder="1" applyAlignment="1">
      <alignment horizontal="center" vertical="top" wrapText="1"/>
    </xf>
    <xf numFmtId="0" fontId="12" fillId="0" borderId="37" xfId="1" applyBorder="1" applyAlignment="1">
      <alignment horizontal="center" vertical="top" wrapText="1"/>
    </xf>
    <xf numFmtId="164" fontId="12" fillId="0" borderId="34" xfId="1" applyNumberFormat="1" applyBorder="1" applyAlignment="1">
      <alignment vertical="top" wrapText="1"/>
    </xf>
    <xf numFmtId="164" fontId="12" fillId="0" borderId="11" xfId="1" applyNumberFormat="1" applyBorder="1" applyAlignment="1">
      <alignment vertical="top" wrapText="1"/>
    </xf>
    <xf numFmtId="164" fontId="12" fillId="0" borderId="37" xfId="1" applyNumberFormat="1" applyBorder="1" applyAlignment="1">
      <alignment vertical="top" wrapText="1"/>
    </xf>
    <xf numFmtId="0" fontId="12" fillId="0" borderId="45" xfId="1" applyBorder="1" applyAlignment="1">
      <alignment horizontal="center" vertical="top" wrapText="1"/>
    </xf>
    <xf numFmtId="0" fontId="12" fillId="0" borderId="10" xfId="1" applyBorder="1" applyAlignment="1">
      <alignment horizontal="center" vertical="top" wrapText="1"/>
    </xf>
    <xf numFmtId="0" fontId="12" fillId="0" borderId="44" xfId="1" applyBorder="1" applyAlignment="1">
      <alignment horizontal="center" vertical="top" wrapText="1"/>
    </xf>
    <xf numFmtId="0" fontId="14" fillId="0" borderId="33" xfId="0" applyFont="1" applyBorder="1" applyAlignment="1">
      <alignment horizontal="center" vertical="top" wrapText="1"/>
    </xf>
    <xf numFmtId="0" fontId="14" fillId="0" borderId="35" xfId="0" applyFont="1" applyBorder="1" applyAlignment="1">
      <alignment horizontal="center" vertical="top" wrapText="1"/>
    </xf>
    <xf numFmtId="0" fontId="14" fillId="0" borderId="34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164" fontId="12" fillId="0" borderId="34" xfId="0" applyNumberFormat="1" applyFont="1" applyBorder="1" applyAlignment="1">
      <alignment vertical="top"/>
    </xf>
    <xf numFmtId="164" fontId="12" fillId="0" borderId="11" xfId="0" applyNumberFormat="1" applyFont="1" applyBorder="1" applyAlignment="1">
      <alignment vertical="top"/>
    </xf>
    <xf numFmtId="0" fontId="12" fillId="0" borderId="53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 vertical="top" wrapText="1"/>
    </xf>
    <xf numFmtId="0" fontId="12" fillId="0" borderId="29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2" fillId="0" borderId="30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30" xfId="0" applyFont="1" applyBorder="1" applyAlignment="1">
      <alignment horizontal="center" vertical="top" wrapText="1"/>
    </xf>
    <xf numFmtId="164" fontId="12" fillId="0" borderId="6" xfId="0" applyNumberFormat="1" applyFont="1" applyBorder="1" applyAlignment="1">
      <alignment vertical="top" wrapText="1"/>
    </xf>
    <xf numFmtId="164" fontId="12" fillId="0" borderId="1" xfId="0" applyNumberFormat="1" applyFont="1" applyBorder="1" applyAlignment="1">
      <alignment vertical="top" wrapText="1"/>
    </xf>
    <xf numFmtId="164" fontId="12" fillId="0" borderId="30" xfId="0" applyNumberFormat="1" applyFont="1" applyBorder="1" applyAlignment="1">
      <alignment vertical="top" wrapText="1"/>
    </xf>
    <xf numFmtId="0" fontId="12" fillId="0" borderId="6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12" fillId="0" borderId="25" xfId="1" applyNumberFormat="1" applyBorder="1" applyAlignment="1">
      <alignment horizontal="right" vertical="top" wrapText="1"/>
    </xf>
    <xf numFmtId="164" fontId="12" fillId="0" borderId="1" xfId="1" applyNumberFormat="1" applyBorder="1" applyAlignment="1">
      <alignment horizontal="right" vertical="top" wrapText="1"/>
    </xf>
    <xf numFmtId="164" fontId="12" fillId="0" borderId="5" xfId="1" applyNumberFormat="1" applyBorder="1" applyAlignment="1">
      <alignment horizontal="right" vertical="top" wrapText="1"/>
    </xf>
    <xf numFmtId="0" fontId="12" fillId="0" borderId="6" xfId="1" applyBorder="1" applyAlignment="1">
      <alignment horizontal="right"/>
    </xf>
    <xf numFmtId="164" fontId="12" fillId="0" borderId="6" xfId="1" applyNumberFormat="1" applyBorder="1" applyAlignment="1">
      <alignment horizontal="center" vertical="top" wrapText="1"/>
    </xf>
    <xf numFmtId="164" fontId="12" fillId="0" borderId="1" xfId="1" applyNumberFormat="1" applyBorder="1" applyAlignment="1">
      <alignment horizontal="center" vertical="top" wrapText="1"/>
    </xf>
    <xf numFmtId="164" fontId="12" fillId="0" borderId="30" xfId="1" applyNumberFormat="1" applyBorder="1" applyAlignment="1">
      <alignment horizontal="center" vertical="top" wrapText="1"/>
    </xf>
    <xf numFmtId="164" fontId="12" fillId="0" borderId="25" xfId="1" applyNumberFormat="1" applyBorder="1" applyAlignment="1">
      <alignment horizontal="center" vertical="top" wrapText="1"/>
    </xf>
    <xf numFmtId="164" fontId="12" fillId="0" borderId="34" xfId="1" applyNumberFormat="1" applyBorder="1" applyAlignment="1">
      <alignment horizontal="center" vertical="top" wrapText="1"/>
    </xf>
    <xf numFmtId="164" fontId="12" fillId="0" borderId="11" xfId="1" applyNumberFormat="1" applyBorder="1" applyAlignment="1">
      <alignment horizontal="center" vertical="top" wrapText="1"/>
    </xf>
    <xf numFmtId="164" fontId="12" fillId="0" borderId="37" xfId="1" applyNumberFormat="1" applyBorder="1" applyAlignment="1">
      <alignment horizontal="center" vertical="top" wrapText="1"/>
    </xf>
    <xf numFmtId="164" fontId="12" fillId="0" borderId="40" xfId="1" applyNumberFormat="1" applyBorder="1" applyAlignment="1">
      <alignment horizontal="right" vertical="top" wrapText="1"/>
    </xf>
    <xf numFmtId="164" fontId="12" fillId="0" borderId="4" xfId="1" applyNumberFormat="1" applyBorder="1" applyAlignment="1">
      <alignment horizontal="right" vertical="top" wrapText="1"/>
    </xf>
    <xf numFmtId="164" fontId="12" fillId="0" borderId="38" xfId="1" applyNumberFormat="1" applyBorder="1" applyAlignment="1">
      <alignment horizontal="right" vertical="top" wrapText="1"/>
    </xf>
    <xf numFmtId="164" fontId="12" fillId="0" borderId="5" xfId="1" applyNumberFormat="1" applyBorder="1" applyAlignment="1">
      <alignment horizontal="center" vertical="top" wrapText="1"/>
    </xf>
    <xf numFmtId="164" fontId="12" fillId="0" borderId="30" xfId="1" applyNumberFormat="1" applyBorder="1" applyAlignment="1">
      <alignment horizontal="right" vertical="top" wrapText="1"/>
    </xf>
    <xf numFmtId="0" fontId="14" fillId="0" borderId="24" xfId="0" applyFont="1" applyBorder="1" applyAlignment="1">
      <alignment horizontal="center" vertical="top" wrapText="1"/>
    </xf>
    <xf numFmtId="0" fontId="14" fillId="0" borderId="27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164" fontId="12" fillId="0" borderId="34" xfId="0" applyNumberFormat="1" applyFont="1" applyBorder="1" applyAlignment="1">
      <alignment horizontal="center" vertical="top"/>
    </xf>
    <xf numFmtId="164" fontId="12" fillId="0" borderId="11" xfId="0" applyNumberFormat="1" applyFont="1" applyBorder="1" applyAlignment="1">
      <alignment horizontal="center" vertical="top"/>
    </xf>
    <xf numFmtId="0" fontId="0" fillId="0" borderId="24" xfId="0" applyBorder="1" applyAlignment="1">
      <alignment horizontal="center" vertical="top" wrapText="1"/>
    </xf>
    <xf numFmtId="0" fontId="0" fillId="0" borderId="27" xfId="0" applyBorder="1" applyAlignment="1">
      <alignment horizontal="center" vertical="top" wrapText="1"/>
    </xf>
    <xf numFmtId="0" fontId="0" fillId="0" borderId="29" xfId="0" applyBorder="1" applyAlignment="1">
      <alignment horizontal="center" vertical="top" wrapText="1"/>
    </xf>
    <xf numFmtId="164" fontId="12" fillId="0" borderId="6" xfId="0" applyNumberFormat="1" applyFont="1" applyBorder="1" applyAlignment="1">
      <alignment horizontal="center" vertical="top" wrapText="1"/>
    </xf>
    <xf numFmtId="164" fontId="12" fillId="0" borderId="1" xfId="0" applyNumberFormat="1" applyFont="1" applyBorder="1" applyAlignment="1">
      <alignment horizontal="center" vertical="top" wrapText="1"/>
    </xf>
    <xf numFmtId="164" fontId="12" fillId="0" borderId="30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</cellXfs>
  <cellStyles count="3">
    <cellStyle name="Comma" xfId="2" builtinId="3"/>
    <cellStyle name="Normal" xfId="0" builtinId="0"/>
    <cellStyle name="Normal 2" xfId="1" xr:uid="{9AF5DA52-07A8-46F2-B09C-6259CC8048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91440</xdr:colOff>
      <xdr:row>5</xdr:row>
      <xdr:rowOff>152400</xdr:rowOff>
    </xdr:from>
    <xdr:to>
      <xdr:col>4</xdr:col>
      <xdr:colOff>198120</xdr:colOff>
      <xdr:row>6</xdr:row>
      <xdr:rowOff>152400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A3A755AC-77AC-5C48-A07D-8CD8988D1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340" y="5969000"/>
          <a:ext cx="2151380" cy="16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91440</xdr:colOff>
      <xdr:row>9</xdr:row>
      <xdr:rowOff>152400</xdr:rowOff>
    </xdr:from>
    <xdr:to>
      <xdr:col>4</xdr:col>
      <xdr:colOff>1097280</xdr:colOff>
      <xdr:row>10</xdr:row>
      <xdr:rowOff>160020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49959DD4-231E-7F4B-B39E-432FA112C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340" y="6654800"/>
          <a:ext cx="3050540" cy="172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129540</xdr:colOff>
      <xdr:row>16</xdr:row>
      <xdr:rowOff>7620</xdr:rowOff>
    </xdr:from>
    <xdr:to>
      <xdr:col>4</xdr:col>
      <xdr:colOff>906780</xdr:colOff>
      <xdr:row>18</xdr:row>
      <xdr:rowOff>83820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E10145A-12FA-8142-8AE0-9178712D4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440" y="7716520"/>
          <a:ext cx="2821940" cy="406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822960</xdr:colOff>
      <xdr:row>17</xdr:row>
      <xdr:rowOff>144780</xdr:rowOff>
    </xdr:from>
    <xdr:to>
      <xdr:col>8</xdr:col>
      <xdr:colOff>558800</xdr:colOff>
      <xdr:row>19</xdr:row>
      <xdr:rowOff>127000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F47664BE-6F13-284B-BF97-9B27BEBAE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4960" y="3192780"/>
          <a:ext cx="3037840" cy="363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106680</xdr:colOff>
      <xdr:row>19</xdr:row>
      <xdr:rowOff>99060</xdr:rowOff>
    </xdr:from>
    <xdr:to>
      <xdr:col>4</xdr:col>
      <xdr:colOff>914400</xdr:colOff>
      <xdr:row>20</xdr:row>
      <xdr:rowOff>106680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1C9CF93-60C6-DB44-909C-0E6EB5DA5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580" y="8303260"/>
          <a:ext cx="2852420" cy="172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114300</xdr:colOff>
      <xdr:row>22</xdr:row>
      <xdr:rowOff>167640</xdr:rowOff>
    </xdr:from>
    <xdr:to>
      <xdr:col>4</xdr:col>
      <xdr:colOff>1371600</xdr:colOff>
      <xdr:row>25</xdr:row>
      <xdr:rowOff>60960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CA2094B7-E720-964D-BF42-FC4B80DAB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00" y="8867140"/>
          <a:ext cx="3302000" cy="414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160020</xdr:colOff>
      <xdr:row>31</xdr:row>
      <xdr:rowOff>22860</xdr:rowOff>
    </xdr:from>
    <xdr:to>
      <xdr:col>4</xdr:col>
      <xdr:colOff>1341120</xdr:colOff>
      <xdr:row>33</xdr:row>
      <xdr:rowOff>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19DEA5D-5E76-1D42-BA81-EC410D137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920" y="10335260"/>
          <a:ext cx="3225800" cy="307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251460</xdr:colOff>
      <xdr:row>5</xdr:row>
      <xdr:rowOff>129540</xdr:rowOff>
    </xdr:from>
    <xdr:to>
      <xdr:col>6</xdr:col>
      <xdr:colOff>190500</xdr:colOff>
      <xdr:row>6</xdr:row>
      <xdr:rowOff>137160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991DFA0-E306-964D-95E8-771377058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360" y="7940040"/>
          <a:ext cx="3101340" cy="1727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220980</xdr:colOff>
      <xdr:row>13</xdr:row>
      <xdr:rowOff>60960</xdr:rowOff>
    </xdr:from>
    <xdr:to>
      <xdr:col>5</xdr:col>
      <xdr:colOff>495300</xdr:colOff>
      <xdr:row>15</xdr:row>
      <xdr:rowOff>129540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EC1267-996E-0E4F-9823-D5500EA84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880" y="9433560"/>
          <a:ext cx="2839720" cy="398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228600</xdr:colOff>
      <xdr:row>15</xdr:row>
      <xdr:rowOff>167640</xdr:rowOff>
    </xdr:from>
    <xdr:to>
      <xdr:col>5</xdr:col>
      <xdr:colOff>441960</xdr:colOff>
      <xdr:row>18</xdr:row>
      <xdr:rowOff>68580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03A43C4-B6C9-0B48-BF8D-8A74247EE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500" y="9870440"/>
          <a:ext cx="2778760" cy="4724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205740</xdr:colOff>
      <xdr:row>14</xdr:row>
      <xdr:rowOff>121920</xdr:rowOff>
    </xdr:from>
    <xdr:to>
      <xdr:col>9</xdr:col>
      <xdr:colOff>495300</xdr:colOff>
      <xdr:row>16</xdr:row>
      <xdr:rowOff>68580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7A642336-D386-CB4D-B725-9B700D27B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3940" y="9659620"/>
          <a:ext cx="3743960" cy="302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205740</xdr:colOff>
      <xdr:row>20</xdr:row>
      <xdr:rowOff>15240</xdr:rowOff>
    </xdr:from>
    <xdr:to>
      <xdr:col>6</xdr:col>
      <xdr:colOff>411480</xdr:colOff>
      <xdr:row>22</xdr:row>
      <xdr:rowOff>91440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20AEFBB-B395-6042-9CF8-576A4042B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640" y="10670540"/>
          <a:ext cx="3368040" cy="406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289560</xdr:colOff>
      <xdr:row>29</xdr:row>
      <xdr:rowOff>15240</xdr:rowOff>
    </xdr:from>
    <xdr:to>
      <xdr:col>6</xdr:col>
      <xdr:colOff>396240</xdr:colOff>
      <xdr:row>30</xdr:row>
      <xdr:rowOff>160020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605C16E-2853-3841-AD1F-D5B3C2E5E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460" y="12448540"/>
          <a:ext cx="3268980" cy="309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2982563</xdr:colOff>
      <xdr:row>4</xdr:row>
      <xdr:rowOff>22860</xdr:rowOff>
    </xdr:from>
    <xdr:ext cx="2180020" cy="37863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5F848E7-04D9-0A4A-A540-3466D67E5FA6}"/>
                </a:ext>
              </a:extLst>
            </xdr:cNvPr>
            <xdr:cNvSpPr txBox="1"/>
          </xdr:nvSpPr>
          <xdr:spPr>
            <a:xfrm>
              <a:off x="3769963" y="594360"/>
              <a:ext cx="2180020" cy="3786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en-IN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IN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𝑁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×</m:t>
                        </m:r>
                        <m:sSup>
                          <m:sSupPr>
                            <m:ctrlP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𝑡𝑣𝑎𝑙</m:t>
                            </m:r>
                          </m:e>
                          <m:sup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×(</m:t>
                        </m:r>
                        <m:nary>
                          <m:naryPr>
                            <m:chr m:val="∑"/>
                            <m:supHide m:val="on"/>
                            <m:ctrlP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naryPr>
                          <m:sub>
                            <m:r>
                              <m:rPr>
                                <m:brk m:alnAt="7"/>
                              </m:rP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𝑖</m:t>
                            </m:r>
                          </m:sub>
                          <m:sup/>
                          <m:e>
                            <m:sSub>
                              <m:sSubPr>
                                <m:ctrlPr>
                                  <a:rPr lang="en-US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𝑤</m:t>
                                </m:r>
                              </m:e>
                              <m:sub>
                                <m:r>
                                  <a:rPr lang="en-US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𝑖</m:t>
                                </m:r>
                              </m:sub>
                            </m:sSub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×</m:t>
                            </m:r>
                            <m:sSub>
                              <m:sSubPr>
                                <m:ctrlPr>
                                  <a:rPr lang="en-US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𝑠</m:t>
                                </m:r>
                              </m:e>
                              <m:sub>
                                <m:r>
                                  <a:rPr lang="en-US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𝑖</m:t>
                                </m:r>
                              </m:sub>
                            </m:sSub>
                          </m:e>
                        </m:nary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)</m:t>
                        </m:r>
                        <m:sSup>
                          <m:sSupPr>
                            <m:ctrlP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.</m:t>
                            </m:r>
                          </m:e>
                          <m:sup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 </m:t>
                        </m:r>
                      </m:num>
                      <m:den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𝑁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 × </m:t>
                        </m:r>
                        <m:sSup>
                          <m:sSupPr>
                            <m:ctrlP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𝐸</m:t>
                            </m:r>
                          </m:e>
                          <m:sup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+</m:t>
                        </m:r>
                        <m:sSup>
                          <m:sSupPr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𝑡𝑣𝑎𝑙</m:t>
                            </m:r>
                          </m:e>
                          <m:sup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 </m:t>
                        </m:r>
                        <m:r>
                          <a:rPr lang="en-US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Cambria Math" panose="02040503050406030204" pitchFamily="18" charset="0"/>
                            <a:cs typeface="+mn-cs"/>
                          </a:rPr>
                          <m:t>×</m:t>
                        </m:r>
                        <m:nary>
                          <m:naryPr>
                            <m:chr m:val="∑"/>
                            <m:supHide m:val="on"/>
                            <m:ctrl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</m:ctrlPr>
                          </m:naryPr>
                          <m:sub>
                            <m:r>
                              <m:rPr>
                                <m:brk m:alnAt="7"/>
                              </m:rP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𝑖</m:t>
                            </m:r>
                          </m:sub>
                          <m:sup/>
                          <m:e>
                            <m:sSub>
                              <m:sSub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  <m:t>𝑤</m:t>
                                </m:r>
                              </m:e>
                              <m:sub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  <m:t>𝑖</m:t>
                                </m:r>
                              </m:sub>
                            </m:sSub>
                            <m:r>
                              <a:rPr lang="en-US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  <a:cs typeface="+mn-cs"/>
                              </a:rPr>
                              <m:t>×</m:t>
                            </m:r>
                            <m:sSub>
                              <m:sSub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  <m:t>𝑠</m:t>
                                </m:r>
                              </m:e>
                              <m:sub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  <m:t>𝑖</m:t>
                                </m:r>
                              </m:sub>
                            </m:sSub>
                            <m:sSup>
                              <m:sSupPr>
                                <m:ctrlP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</m:ctrlPr>
                              </m:sSupPr>
                              <m:e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  <m:t>.</m:t>
                                </m:r>
                              </m:e>
                              <m:sup>
                                <m:r>
                                  <a:rPr lang="en-US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  <a:cs typeface="+mn-cs"/>
                                  </a:rPr>
                                  <m:t>2</m:t>
                                </m:r>
                              </m:sup>
                            </m:sSup>
                          </m:e>
                        </m:nary>
                      </m:den>
                    </m:f>
                  </m:oMath>
                </m:oMathPara>
              </a14:m>
              <a:endParaRPr lang="en-IN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5F848E7-04D9-0A4A-A540-3466D67E5FA6}"/>
                </a:ext>
              </a:extLst>
            </xdr:cNvPr>
            <xdr:cNvSpPr txBox="1"/>
          </xdr:nvSpPr>
          <xdr:spPr>
            <a:xfrm>
              <a:off x="3769963" y="594360"/>
              <a:ext cx="2180020" cy="3786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en-IN" sz="1100" i="0">
                  <a:latin typeface="Cambria Math" panose="02040503050406030204" pitchFamily="18" charset="0"/>
                </a:rPr>
                <a:t>=(</a:t>
              </a:r>
              <a:r>
                <a:rPr lang="en-US" sz="1100" b="0" i="0">
                  <a:latin typeface="Cambria Math" panose="02040503050406030204" pitchFamily="18" charset="0"/>
                </a:rPr>
                <a:t>𝑁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×〖𝑡𝑣𝑎𝑙〗^2  ×(∑_𝑖▒〖𝑤_𝑖×𝑠_𝑖 〗).^2  </a:t>
              </a:r>
              <a:r>
                <a:rPr lang="en-IN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)/(</a:t>
              </a:r>
              <a:r>
                <a:rPr lang="en-US" sz="1100" b="0" i="0">
                  <a:latin typeface="Cambria Math" panose="02040503050406030204" pitchFamily="18" charset="0"/>
                </a:rPr>
                <a:t> 𝑁 × 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𝐸^2+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〖𝑡𝑣𝑎𝑙〗^2  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×∑_𝑖▒〖𝑤_𝑖×𝑠_𝑖 .^2 〗</a:t>
              </a:r>
              <a:r>
                <a:rPr lang="en-IN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)</a:t>
              </a:r>
              <a:endParaRPr lang="en-IN" sz="1100"/>
            </a:p>
          </xdr:txBody>
        </xdr:sp>
      </mc:Fallback>
    </mc:AlternateContent>
    <xdr:clientData/>
  </xdr:oneCellAnchor>
  <xdr:oneCellAnchor>
    <xdr:from>
      <xdr:col>12</xdr:col>
      <xdr:colOff>60293</xdr:colOff>
      <xdr:row>44</xdr:row>
      <xdr:rowOff>33813</xdr:rowOff>
    </xdr:from>
    <xdr:ext cx="1650131" cy="31758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84899A4D-5C31-242C-7FE0-FB9F57A74CAF}"/>
                </a:ext>
              </a:extLst>
            </xdr:cNvPr>
            <xdr:cNvSpPr txBox="1"/>
          </xdr:nvSpPr>
          <xdr:spPr>
            <a:xfrm>
              <a:off x="13141293" y="9190513"/>
              <a:ext cx="1650131" cy="3175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𝑁</m:t>
                    </m:r>
                    <m:r>
                      <a:rPr lang="en-US" sz="1100" b="0" i="1">
                        <a:latin typeface="Cambria Math" panose="02040503050406030204" pitchFamily="18" charset="0"/>
                      </a:rPr>
                      <m:t> × </m:t>
                    </m:r>
                    <m:sSup>
                      <m:sSupPr>
                        <m:ctrlPr>
                          <a:rPr lang="en-US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𝑡𝑣𝑎𝑙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en-US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d>
                      <m:d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nary>
                          <m:naryPr>
                            <m:chr m:val="∑"/>
                            <m:limLoc m:val="subSup"/>
                            <m:supHide m:val="on"/>
                            <m:ctrlP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naryPr>
                          <m:sub>
                            <m:r>
                              <m:rPr>
                                <m:brk m:alnAt="9"/>
                              </m:rP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𝑖</m:t>
                            </m:r>
                          </m:sub>
                          <m:sup/>
                          <m:e>
                            <m:sSub>
                              <m:sSubPr>
                                <m:ctrlPr>
                                  <a:rPr lang="en-US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𝑤</m:t>
                                </m:r>
                              </m:e>
                              <m:sub>
                                <m:r>
                                  <a:rPr lang="en-US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𝑖</m:t>
                                </m:r>
                              </m:sub>
                            </m:sSub>
                            <m:r>
                              <a:rPr lang="en-US" sz="11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×</m:t>
                            </m:r>
                            <m:sSub>
                              <m:sSubPr>
                                <m:ctrlPr>
                                  <a:rPr lang="en-US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US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𝑠</m:t>
                                </m:r>
                              </m:e>
                              <m:sub>
                                <m:r>
                                  <a:rPr lang="en-US" sz="11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𝑖</m:t>
                                </m:r>
                              </m:sub>
                            </m:sSub>
                          </m:e>
                        </m:nary>
                      </m:e>
                    </m:d>
                    <m:sSup>
                      <m:sSup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.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p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84899A4D-5C31-242C-7FE0-FB9F57A74CAF}"/>
                </a:ext>
              </a:extLst>
            </xdr:cNvPr>
            <xdr:cNvSpPr txBox="1"/>
          </xdr:nvSpPr>
          <xdr:spPr>
            <a:xfrm>
              <a:off x="13141293" y="9190513"/>
              <a:ext cx="1650131" cy="3175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 b="0" i="0">
                  <a:latin typeface="Cambria Math" panose="02040503050406030204" pitchFamily="18" charset="0"/>
                </a:rPr>
                <a:t>𝑁 × 〖𝑡𝑣𝑎𝑙〗^2  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×(∑10_𝑖▒〖𝑤_𝑖  ×𝑠_𝑖 〗) .^2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13</xdr:col>
      <xdr:colOff>60293</xdr:colOff>
      <xdr:row>44</xdr:row>
      <xdr:rowOff>97313</xdr:rowOff>
    </xdr:from>
    <xdr:ext cx="1507977" cy="18101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BD9D73D5-B5C5-3A8E-FDCD-A23576514CB0}"/>
                </a:ext>
              </a:extLst>
            </xdr:cNvPr>
            <xdr:cNvSpPr txBox="1"/>
          </xdr:nvSpPr>
          <xdr:spPr>
            <a:xfrm>
              <a:off x="14893893" y="9254013"/>
              <a:ext cx="1507977" cy="18101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/>
                <a:t>N</a:t>
              </a:r>
              <a:r>
                <a:rPr lang="en-US" sz="1100" baseline="0"/>
                <a:t> </a:t>
              </a:r>
              <a14:m>
                <m:oMath xmlns:m="http://schemas.openxmlformats.org/officeDocument/2006/math">
                  <m:r>
                    <a:rPr lang="el-GR" sz="110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×</m:t>
                  </m:r>
                  <m:sSup>
                    <m:sSupPr>
                      <m:ctrlPr>
                        <a:rPr lang="el-GR" sz="11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pPr>
                    <m:e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𝐸</m:t>
                      </m:r>
                    </m:e>
                    <m:sup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2</m:t>
                      </m:r>
                    </m:sup>
                  </m:sSup>
                  <m:r>
                    <a:rPr lang="en-US" sz="11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+</m:t>
                  </m:r>
                  <m:sSup>
                    <m:sSupPr>
                      <m:ctrlP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pPr>
                    <m:e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𝑡𝑣𝑎𝑙</m:t>
                      </m:r>
                    </m:e>
                    <m:sup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2</m:t>
                      </m:r>
                    </m:sup>
                  </m:sSup>
                  <m:r>
                    <a:rPr lang="en-US" sz="11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 ×</m:t>
                  </m:r>
                  <m:nary>
                    <m:naryPr>
                      <m:chr m:val="∑"/>
                      <m:limLoc m:val="subSup"/>
                      <m:supHide m:val="on"/>
                      <m:ctrlP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naryPr>
                    <m:sub>
                      <m:r>
                        <m:rPr>
                          <m:brk m:alnAt="9"/>
                        </m:rP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  <m:sup/>
                    <m:e>
                      <m:sSub>
                        <m:sSubPr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sSubPr>
                        <m:e>
                          <m: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𝑤</m:t>
                          </m:r>
                        </m:e>
                        <m:sub>
                          <m: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</m:sub>
                      </m:s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sSubSup>
                        <m:sSubSupPr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sSubSupPr>
                        <m:e>
                          <m: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𝑠</m:t>
                          </m:r>
                        </m:e>
                        <m:sub>
                          <m: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</m:sub>
                        <m:sup>
                          <m: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2</m:t>
                          </m:r>
                        </m:sup>
                      </m:sSubSup>
                    </m:e>
                  </m:nary>
                </m:oMath>
              </a14:m>
              <a:endParaRPr lang="en-GB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BD9D73D5-B5C5-3A8E-FDCD-A23576514CB0}"/>
                </a:ext>
              </a:extLst>
            </xdr:cNvPr>
            <xdr:cNvSpPr txBox="1"/>
          </xdr:nvSpPr>
          <xdr:spPr>
            <a:xfrm>
              <a:off x="14893893" y="9254013"/>
              <a:ext cx="1507977" cy="18101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sz="1100"/>
                <a:t>N</a:t>
              </a:r>
              <a:r>
                <a:rPr lang="en-US" sz="1100" baseline="0"/>
                <a:t> </a:t>
              </a:r>
              <a:r>
                <a:rPr lang="el-GR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×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𝐸</a:t>
              </a:r>
              <a:r>
                <a:rPr lang="el-GR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2+〖𝑡𝑣𝑎𝑙〗^2  ×∑10_𝑖▒〖𝑤_𝑖  𝑠_𝑖^2 〗</a:t>
              </a:r>
              <a:endParaRPr lang="en-GB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36CC3-05B7-4752-A239-A97273A04F5D}">
  <dimension ref="A1:F87"/>
  <sheetViews>
    <sheetView topLeftCell="A50" zoomScale="97" workbookViewId="0">
      <selection activeCell="B61" sqref="B61"/>
    </sheetView>
  </sheetViews>
  <sheetFormatPr baseColWidth="10" defaultColWidth="8.83203125" defaultRowHeight="14" x14ac:dyDescent="0.2"/>
  <cols>
    <col min="1" max="1" width="13" style="202" customWidth="1"/>
    <col min="2" max="2" width="40.5" style="202" customWidth="1"/>
    <col min="3" max="3" width="26.33203125" style="202" customWidth="1"/>
    <col min="4" max="4" width="11.5" style="202" customWidth="1"/>
    <col min="5" max="5" width="27.6640625" style="204" customWidth="1"/>
    <col min="6" max="6" width="46.33203125" style="202" customWidth="1"/>
    <col min="7" max="16384" width="8.83203125" style="202"/>
  </cols>
  <sheetData>
    <row r="1" spans="1:6" x14ac:dyDescent="0.2">
      <c r="A1" s="503" t="s">
        <v>415</v>
      </c>
      <c r="B1" s="503"/>
      <c r="C1" s="503"/>
      <c r="D1" s="503"/>
      <c r="E1" s="503"/>
      <c r="F1" s="503"/>
    </row>
    <row r="2" spans="1:6" x14ac:dyDescent="0.2">
      <c r="A2" s="203" t="s">
        <v>416</v>
      </c>
      <c r="B2" s="203">
        <v>2710</v>
      </c>
    </row>
    <row r="3" spans="1:6" x14ac:dyDescent="0.2">
      <c r="A3" s="203" t="s">
        <v>417</v>
      </c>
      <c r="B3" s="203">
        <v>6</v>
      </c>
    </row>
    <row r="5" spans="1:6" s="204" customFormat="1" x14ac:dyDescent="0.2">
      <c r="A5" s="205" t="s">
        <v>409</v>
      </c>
      <c r="B5" s="205" t="s">
        <v>388</v>
      </c>
      <c r="C5" s="205" t="s">
        <v>389</v>
      </c>
      <c r="D5" s="205"/>
      <c r="E5" s="205" t="s">
        <v>390</v>
      </c>
      <c r="F5" s="205" t="s">
        <v>391</v>
      </c>
    </row>
    <row r="6" spans="1:6" ht="30" x14ac:dyDescent="0.2">
      <c r="A6" s="206" t="s">
        <v>571</v>
      </c>
      <c r="B6" s="206" t="s">
        <v>574</v>
      </c>
      <c r="C6" s="206" t="s">
        <v>575</v>
      </c>
      <c r="D6" s="206"/>
      <c r="E6" s="207">
        <v>265</v>
      </c>
      <c r="F6" s="206" t="s">
        <v>392</v>
      </c>
    </row>
    <row r="7" spans="1:6" ht="31.25" customHeight="1" x14ac:dyDescent="0.2">
      <c r="A7" s="206" t="s">
        <v>576</v>
      </c>
      <c r="B7" s="206" t="s">
        <v>577</v>
      </c>
      <c r="C7" s="206" t="s">
        <v>578</v>
      </c>
      <c r="D7" s="206"/>
      <c r="E7" s="207">
        <v>0.01</v>
      </c>
      <c r="F7" s="206" t="s">
        <v>393</v>
      </c>
    </row>
    <row r="8" spans="1:6" ht="30" x14ac:dyDescent="0.2">
      <c r="A8" s="206" t="s">
        <v>579</v>
      </c>
      <c r="B8" s="206" t="s">
        <v>394</v>
      </c>
      <c r="C8" s="206" t="s">
        <v>395</v>
      </c>
      <c r="D8" s="206"/>
      <c r="E8" s="207">
        <v>0.28000000000000003</v>
      </c>
      <c r="F8" s="206" t="s">
        <v>396</v>
      </c>
    </row>
    <row r="9" spans="1:6" ht="32" x14ac:dyDescent="0.2">
      <c r="A9" s="206" t="s">
        <v>572</v>
      </c>
      <c r="B9" s="206" t="s">
        <v>580</v>
      </c>
      <c r="C9" s="206" t="s">
        <v>397</v>
      </c>
      <c r="D9" s="206"/>
      <c r="E9" s="207">
        <v>0.11</v>
      </c>
      <c r="F9" s="206" t="s">
        <v>393</v>
      </c>
    </row>
    <row r="10" spans="1:6" ht="30" x14ac:dyDescent="0.2">
      <c r="A10" s="206" t="s">
        <v>573</v>
      </c>
      <c r="B10" s="206" t="s">
        <v>398</v>
      </c>
      <c r="C10" s="206" t="s">
        <v>399</v>
      </c>
      <c r="D10" s="206"/>
      <c r="E10" s="207">
        <v>0.35</v>
      </c>
      <c r="F10" s="206" t="s">
        <v>400</v>
      </c>
    </row>
    <row r="11" spans="1:6" ht="30" x14ac:dyDescent="0.2">
      <c r="A11" s="206" t="s">
        <v>581</v>
      </c>
      <c r="B11" s="206" t="s">
        <v>401</v>
      </c>
      <c r="C11" s="206" t="s">
        <v>402</v>
      </c>
      <c r="D11" s="206"/>
      <c r="E11" s="207">
        <v>2.2999999999999998</v>
      </c>
      <c r="F11" s="206" t="s">
        <v>403</v>
      </c>
    </row>
    <row r="12" spans="1:6" ht="17" x14ac:dyDescent="0.2">
      <c r="A12" s="206" t="s">
        <v>582</v>
      </c>
      <c r="B12" s="206" t="s">
        <v>583</v>
      </c>
      <c r="C12" s="206" t="s">
        <v>584</v>
      </c>
      <c r="D12" s="206"/>
      <c r="E12" s="207">
        <v>28</v>
      </c>
      <c r="F12" s="206" t="s">
        <v>404</v>
      </c>
    </row>
    <row r="13" spans="1:6" ht="15" x14ac:dyDescent="0.2">
      <c r="A13" s="502" t="s">
        <v>585</v>
      </c>
      <c r="B13" s="502" t="s">
        <v>586</v>
      </c>
      <c r="C13" s="502" t="s">
        <v>587</v>
      </c>
      <c r="D13" s="206" t="s">
        <v>410</v>
      </c>
      <c r="E13" s="207">
        <v>46</v>
      </c>
      <c r="F13" s="502" t="s">
        <v>405</v>
      </c>
    </row>
    <row r="14" spans="1:6" ht="15" x14ac:dyDescent="0.2">
      <c r="A14" s="502"/>
      <c r="B14" s="502"/>
      <c r="C14" s="502"/>
      <c r="D14" s="206" t="s">
        <v>103</v>
      </c>
      <c r="E14" s="207">
        <v>5</v>
      </c>
      <c r="F14" s="502"/>
    </row>
    <row r="15" spans="1:6" ht="16.75" customHeight="1" x14ac:dyDescent="0.2">
      <c r="A15" s="502"/>
      <c r="B15" s="502"/>
      <c r="C15" s="502"/>
      <c r="D15" s="206" t="s">
        <v>411</v>
      </c>
      <c r="E15" s="207">
        <v>31</v>
      </c>
      <c r="F15" s="502"/>
    </row>
    <row r="16" spans="1:6" ht="45" x14ac:dyDescent="0.2">
      <c r="A16" s="206" t="s">
        <v>588</v>
      </c>
      <c r="B16" s="206" t="s">
        <v>406</v>
      </c>
      <c r="C16" s="206" t="s">
        <v>407</v>
      </c>
      <c r="D16" s="206"/>
      <c r="E16" s="207">
        <v>0.5</v>
      </c>
      <c r="F16" s="206" t="s">
        <v>589</v>
      </c>
    </row>
    <row r="17" spans="1:6" ht="33.5" customHeight="1" x14ac:dyDescent="0.2">
      <c r="A17" s="206" t="s">
        <v>590</v>
      </c>
      <c r="B17" s="206" t="s">
        <v>591</v>
      </c>
      <c r="C17" s="206" t="s">
        <v>592</v>
      </c>
      <c r="D17" s="206"/>
      <c r="E17" s="207">
        <v>0.21</v>
      </c>
      <c r="F17" s="206" t="s">
        <v>408</v>
      </c>
    </row>
    <row r="18" spans="1:6" ht="30" x14ac:dyDescent="0.2">
      <c r="A18" s="208" t="s">
        <v>593</v>
      </c>
      <c r="B18" s="206" t="s">
        <v>519</v>
      </c>
      <c r="C18" s="206" t="s">
        <v>518</v>
      </c>
      <c r="D18" s="208"/>
      <c r="E18" s="206" t="s">
        <v>564</v>
      </c>
      <c r="F18" s="206" t="s">
        <v>520</v>
      </c>
    </row>
    <row r="19" spans="1:6" ht="30" x14ac:dyDescent="0.2">
      <c r="A19" s="208" t="s">
        <v>594</v>
      </c>
      <c r="B19" s="206" t="s">
        <v>521</v>
      </c>
      <c r="C19" s="206" t="s">
        <v>499</v>
      </c>
      <c r="D19" s="208"/>
      <c r="E19" s="206" t="s">
        <v>565</v>
      </c>
      <c r="F19" s="206" t="s">
        <v>520</v>
      </c>
    </row>
    <row r="20" spans="1:6" ht="30" x14ac:dyDescent="0.2">
      <c r="A20" s="208" t="s">
        <v>595</v>
      </c>
      <c r="B20" s="206" t="s">
        <v>522</v>
      </c>
      <c r="C20" s="208" t="s">
        <v>523</v>
      </c>
      <c r="D20" s="208"/>
      <c r="E20" s="206" t="s">
        <v>565</v>
      </c>
      <c r="F20" s="206" t="s">
        <v>520</v>
      </c>
    </row>
    <row r="21" spans="1:6" ht="45" x14ac:dyDescent="0.2">
      <c r="A21" s="208" t="s">
        <v>596</v>
      </c>
      <c r="B21" s="206" t="s">
        <v>524</v>
      </c>
      <c r="C21" s="208" t="s">
        <v>525</v>
      </c>
      <c r="D21" s="208"/>
      <c r="E21" s="206" t="s">
        <v>566</v>
      </c>
      <c r="F21" s="206" t="s">
        <v>520</v>
      </c>
    </row>
    <row r="22" spans="1:6" ht="30" x14ac:dyDescent="0.2">
      <c r="A22" s="208" t="s">
        <v>597</v>
      </c>
      <c r="B22" s="206" t="s">
        <v>527</v>
      </c>
      <c r="C22" s="206" t="s">
        <v>526</v>
      </c>
      <c r="D22" s="208"/>
      <c r="E22" s="207">
        <v>365</v>
      </c>
      <c r="F22" s="206" t="s">
        <v>528</v>
      </c>
    </row>
    <row r="23" spans="1:6" ht="30" x14ac:dyDescent="0.2">
      <c r="A23" s="208" t="s">
        <v>598</v>
      </c>
      <c r="B23" s="206" t="s">
        <v>530</v>
      </c>
      <c r="C23" s="208" t="s">
        <v>529</v>
      </c>
      <c r="D23" s="208"/>
      <c r="E23" s="206" t="s">
        <v>567</v>
      </c>
      <c r="F23" s="206" t="s">
        <v>520</v>
      </c>
    </row>
    <row r="24" spans="1:6" ht="45" x14ac:dyDescent="0.2">
      <c r="A24" s="208" t="s">
        <v>599</v>
      </c>
      <c r="B24" s="206" t="s">
        <v>600</v>
      </c>
      <c r="C24" s="208" t="s">
        <v>531</v>
      </c>
      <c r="D24" s="208"/>
      <c r="E24" s="206" t="s">
        <v>567</v>
      </c>
      <c r="F24" s="206" t="s">
        <v>532</v>
      </c>
    </row>
    <row r="25" spans="1:6" ht="30" x14ac:dyDescent="0.2">
      <c r="A25" s="208" t="s">
        <v>601</v>
      </c>
      <c r="B25" s="206" t="s">
        <v>534</v>
      </c>
      <c r="C25" s="208" t="s">
        <v>533</v>
      </c>
      <c r="D25" s="208"/>
      <c r="E25" s="206" t="s">
        <v>535</v>
      </c>
      <c r="F25" s="206" t="s">
        <v>702</v>
      </c>
    </row>
    <row r="26" spans="1:6" ht="30" x14ac:dyDescent="0.2">
      <c r="A26" s="208" t="s">
        <v>536</v>
      </c>
      <c r="B26" s="206" t="s">
        <v>537</v>
      </c>
      <c r="C26" s="208" t="s">
        <v>164</v>
      </c>
      <c r="D26" s="208"/>
      <c r="E26" s="207">
        <v>5</v>
      </c>
      <c r="F26" s="206" t="s">
        <v>538</v>
      </c>
    </row>
    <row r="27" spans="1:6" ht="30" x14ac:dyDescent="0.2">
      <c r="A27" s="208" t="s">
        <v>602</v>
      </c>
      <c r="B27" s="206" t="s">
        <v>539</v>
      </c>
      <c r="C27" s="208" t="s">
        <v>518</v>
      </c>
      <c r="D27" s="208"/>
      <c r="E27" s="206" t="s">
        <v>540</v>
      </c>
      <c r="F27" s="206" t="s">
        <v>520</v>
      </c>
    </row>
    <row r="28" spans="1:6" ht="30" x14ac:dyDescent="0.2">
      <c r="A28" s="208" t="s">
        <v>603</v>
      </c>
      <c r="B28" s="206" t="s">
        <v>541</v>
      </c>
      <c r="C28" s="208" t="s">
        <v>395</v>
      </c>
      <c r="D28" s="208" t="s">
        <v>461</v>
      </c>
      <c r="E28" s="207">
        <v>0.28000000000000003</v>
      </c>
      <c r="F28" s="206" t="s">
        <v>542</v>
      </c>
    </row>
    <row r="29" spans="1:6" ht="15" x14ac:dyDescent="0.2">
      <c r="A29" s="208"/>
      <c r="B29" s="206"/>
      <c r="C29" s="208"/>
      <c r="D29" s="208" t="s">
        <v>462</v>
      </c>
      <c r="E29" s="207">
        <v>0.46800000000000003</v>
      </c>
      <c r="F29" s="206" t="s">
        <v>542</v>
      </c>
    </row>
    <row r="30" spans="1:6" ht="30" x14ac:dyDescent="0.2">
      <c r="A30" s="208" t="s">
        <v>604</v>
      </c>
      <c r="B30" s="206" t="s">
        <v>543</v>
      </c>
      <c r="C30" s="208" t="s">
        <v>499</v>
      </c>
      <c r="D30" s="208"/>
      <c r="E30" s="206" t="s">
        <v>545</v>
      </c>
      <c r="F30" s="206" t="s">
        <v>544</v>
      </c>
    </row>
    <row r="31" spans="1:6" ht="30" x14ac:dyDescent="0.2">
      <c r="A31" s="208" t="s">
        <v>605</v>
      </c>
      <c r="B31" s="206" t="s">
        <v>547</v>
      </c>
      <c r="C31" s="208" t="s">
        <v>546</v>
      </c>
      <c r="D31" s="208"/>
      <c r="E31" s="206" t="s">
        <v>545</v>
      </c>
      <c r="F31" s="206" t="s">
        <v>544</v>
      </c>
    </row>
    <row r="32" spans="1:6" ht="30" x14ac:dyDescent="0.2">
      <c r="A32" s="208" t="s">
        <v>606</v>
      </c>
      <c r="B32" s="206" t="s">
        <v>549</v>
      </c>
      <c r="C32" s="208" t="s">
        <v>548</v>
      </c>
      <c r="D32" s="208"/>
      <c r="E32" s="206" t="s">
        <v>550</v>
      </c>
      <c r="F32" s="206" t="s">
        <v>520</v>
      </c>
    </row>
    <row r="33" spans="1:6" ht="30" x14ac:dyDescent="0.2">
      <c r="A33" s="208" t="s">
        <v>607</v>
      </c>
      <c r="B33" s="206" t="s">
        <v>551</v>
      </c>
      <c r="C33" s="208" t="s">
        <v>526</v>
      </c>
      <c r="D33" s="208"/>
      <c r="E33" s="207">
        <v>365</v>
      </c>
      <c r="F33" s="206"/>
    </row>
    <row r="34" spans="1:6" ht="45" x14ac:dyDescent="0.2">
      <c r="A34" s="208" t="s">
        <v>608</v>
      </c>
      <c r="B34" s="206" t="s">
        <v>552</v>
      </c>
      <c r="C34" s="208" t="s">
        <v>531</v>
      </c>
      <c r="D34" s="208"/>
      <c r="E34" s="206" t="s">
        <v>568</v>
      </c>
      <c r="F34" s="206" t="s">
        <v>520</v>
      </c>
    </row>
    <row r="35" spans="1:6" ht="30" x14ac:dyDescent="0.2">
      <c r="A35" s="208" t="s">
        <v>609</v>
      </c>
      <c r="B35" s="206" t="s">
        <v>553</v>
      </c>
      <c r="C35" s="208" t="s">
        <v>529</v>
      </c>
      <c r="D35" s="208"/>
      <c r="E35" s="206" t="s">
        <v>568</v>
      </c>
      <c r="F35" s="206" t="s">
        <v>520</v>
      </c>
    </row>
    <row r="36" spans="1:6" ht="30" x14ac:dyDescent="0.2">
      <c r="A36" s="208" t="s">
        <v>610</v>
      </c>
      <c r="B36" s="206" t="s">
        <v>554</v>
      </c>
      <c r="C36" s="208" t="s">
        <v>529</v>
      </c>
      <c r="D36" s="208"/>
      <c r="E36" s="496">
        <f>D83</f>
        <v>91950.642000000022</v>
      </c>
      <c r="F36" s="206" t="s">
        <v>614</v>
      </c>
    </row>
    <row r="37" spans="1:6" ht="60" x14ac:dyDescent="0.2">
      <c r="A37" s="208" t="s">
        <v>611</v>
      </c>
      <c r="B37" s="206" t="s">
        <v>556</v>
      </c>
      <c r="C37" s="208" t="s">
        <v>555</v>
      </c>
      <c r="D37" s="208"/>
      <c r="E37" s="206" t="s">
        <v>569</v>
      </c>
      <c r="F37" s="206" t="s">
        <v>559</v>
      </c>
    </row>
    <row r="38" spans="1:6" ht="60" x14ac:dyDescent="0.2">
      <c r="A38" s="208" t="s">
        <v>612</v>
      </c>
      <c r="B38" s="206" t="s">
        <v>558</v>
      </c>
      <c r="C38" s="208" t="s">
        <v>557</v>
      </c>
      <c r="D38" s="208"/>
      <c r="E38" s="206" t="s">
        <v>569</v>
      </c>
      <c r="F38" s="206" t="s">
        <v>559</v>
      </c>
    </row>
    <row r="39" spans="1:6" ht="75" x14ac:dyDescent="0.2">
      <c r="A39" s="208" t="s">
        <v>613</v>
      </c>
      <c r="B39" s="206" t="s">
        <v>561</v>
      </c>
      <c r="C39" s="208" t="s">
        <v>560</v>
      </c>
      <c r="D39" s="208"/>
      <c r="E39" s="206" t="s">
        <v>569</v>
      </c>
      <c r="F39" s="206" t="s">
        <v>559</v>
      </c>
    </row>
    <row r="40" spans="1:6" ht="30" x14ac:dyDescent="0.2">
      <c r="A40" s="208" t="s">
        <v>562</v>
      </c>
      <c r="B40" s="206" t="s">
        <v>563</v>
      </c>
      <c r="C40" s="208" t="s">
        <v>500</v>
      </c>
      <c r="D40" s="208"/>
      <c r="E40" s="207">
        <v>30</v>
      </c>
      <c r="F40" s="206" t="s">
        <v>538</v>
      </c>
    </row>
    <row r="41" spans="1:6" ht="15" x14ac:dyDescent="0.2">
      <c r="A41" s="502" t="s">
        <v>596</v>
      </c>
      <c r="B41" s="502" t="s">
        <v>548</v>
      </c>
      <c r="C41" s="502" t="s">
        <v>548</v>
      </c>
      <c r="D41" s="206" t="s">
        <v>410</v>
      </c>
      <c r="E41" s="207">
        <f>PDB_Livestock!G70</f>
        <v>16573</v>
      </c>
      <c r="F41" s="502" t="s">
        <v>520</v>
      </c>
    </row>
    <row r="42" spans="1:6" ht="15" x14ac:dyDescent="0.2">
      <c r="A42" s="502"/>
      <c r="B42" s="502"/>
      <c r="C42" s="502"/>
      <c r="D42" s="206" t="s">
        <v>103</v>
      </c>
      <c r="E42" s="207">
        <f>PDB_Livestock!G71</f>
        <v>35383</v>
      </c>
      <c r="F42" s="502"/>
    </row>
    <row r="43" spans="1:6" ht="15" x14ac:dyDescent="0.2">
      <c r="A43" s="502"/>
      <c r="B43" s="502"/>
      <c r="C43" s="502"/>
      <c r="D43" s="206" t="s">
        <v>411</v>
      </c>
      <c r="E43" s="207">
        <f>PDB_Livestock!G72</f>
        <v>4085.3333333333335</v>
      </c>
      <c r="F43" s="502"/>
    </row>
    <row r="44" spans="1:6" ht="14" customHeight="1" x14ac:dyDescent="0.2">
      <c r="A44" s="502" t="s">
        <v>663</v>
      </c>
      <c r="B44" s="502" t="s">
        <v>659</v>
      </c>
      <c r="C44" s="502" t="s">
        <v>643</v>
      </c>
      <c r="D44" s="206" t="s">
        <v>410</v>
      </c>
      <c r="E44" s="207">
        <v>300</v>
      </c>
      <c r="F44" s="502" t="s">
        <v>682</v>
      </c>
    </row>
    <row r="45" spans="1:6" ht="15" x14ac:dyDescent="0.2">
      <c r="A45" s="502"/>
      <c r="B45" s="502"/>
      <c r="C45" s="502"/>
      <c r="D45" s="206" t="s">
        <v>103</v>
      </c>
      <c r="E45" s="207">
        <v>45</v>
      </c>
      <c r="F45" s="502"/>
    </row>
    <row r="46" spans="1:6" ht="15" x14ac:dyDescent="0.2">
      <c r="A46" s="502"/>
      <c r="B46" s="502"/>
      <c r="C46" s="502"/>
      <c r="D46" s="206" t="s">
        <v>411</v>
      </c>
      <c r="E46" s="207">
        <v>275</v>
      </c>
      <c r="F46" s="502"/>
    </row>
    <row r="47" spans="1:6" ht="15" x14ac:dyDescent="0.2">
      <c r="A47" s="502" t="s">
        <v>664</v>
      </c>
      <c r="B47" s="502" t="s">
        <v>658</v>
      </c>
      <c r="C47" s="502" t="s">
        <v>644</v>
      </c>
      <c r="D47" s="206" t="s">
        <v>410</v>
      </c>
      <c r="E47" s="252">
        <v>0.44</v>
      </c>
      <c r="F47" s="502" t="s">
        <v>393</v>
      </c>
    </row>
    <row r="48" spans="1:6" ht="15" x14ac:dyDescent="0.2">
      <c r="A48" s="502"/>
      <c r="B48" s="502"/>
      <c r="C48" s="502"/>
      <c r="D48" s="206" t="s">
        <v>103</v>
      </c>
      <c r="E48" s="252">
        <v>0.32</v>
      </c>
      <c r="F48" s="502"/>
    </row>
    <row r="49" spans="1:6" ht="15" x14ac:dyDescent="0.2">
      <c r="A49" s="502"/>
      <c r="B49" s="502"/>
      <c r="C49" s="502"/>
      <c r="D49" s="206" t="s">
        <v>411</v>
      </c>
      <c r="E49" s="207">
        <v>0.45</v>
      </c>
      <c r="F49" s="502"/>
    </row>
    <row r="50" spans="1:6" ht="30" x14ac:dyDescent="0.2">
      <c r="A50" s="206" t="s">
        <v>662</v>
      </c>
      <c r="B50" s="206" t="s">
        <v>667</v>
      </c>
      <c r="C50" s="253" t="s">
        <v>645</v>
      </c>
      <c r="D50" s="206"/>
      <c r="E50" s="207">
        <v>8</v>
      </c>
      <c r="F50" s="206" t="s">
        <v>647</v>
      </c>
    </row>
    <row r="51" spans="1:6" ht="40" customHeight="1" x14ac:dyDescent="0.2">
      <c r="A51" s="206" t="s">
        <v>661</v>
      </c>
      <c r="B51" s="206" t="s">
        <v>660</v>
      </c>
      <c r="C51" s="206" t="s">
        <v>646</v>
      </c>
      <c r="D51" s="206"/>
      <c r="E51" s="207">
        <v>0.21199999999999999</v>
      </c>
      <c r="F51" s="206" t="s">
        <v>393</v>
      </c>
    </row>
    <row r="52" spans="1:6" ht="45" x14ac:dyDescent="0.2">
      <c r="A52" s="208" t="s">
        <v>655</v>
      </c>
      <c r="B52" s="206" t="s">
        <v>665</v>
      </c>
      <c r="C52" s="253" t="s">
        <v>666</v>
      </c>
      <c r="D52" s="208"/>
      <c r="E52" s="252">
        <v>2E-3</v>
      </c>
      <c r="F52" s="206" t="s">
        <v>393</v>
      </c>
    </row>
    <row r="53" spans="1:6" ht="45" x14ac:dyDescent="0.2">
      <c r="A53" s="208" t="s">
        <v>657</v>
      </c>
      <c r="B53" s="206" t="s">
        <v>656</v>
      </c>
      <c r="C53" s="253" t="s">
        <v>666</v>
      </c>
      <c r="D53" s="208"/>
      <c r="E53" s="252">
        <v>3.0000000000000001E-3</v>
      </c>
      <c r="F53" s="206" t="s">
        <v>393</v>
      </c>
    </row>
    <row r="54" spans="1:6" x14ac:dyDescent="0.2">
      <c r="A54" s="254"/>
      <c r="B54" s="206"/>
      <c r="C54" s="206"/>
      <c r="D54" s="208"/>
      <c r="E54" s="252"/>
      <c r="F54" s="206"/>
    </row>
    <row r="55" spans="1:6" x14ac:dyDescent="0.15">
      <c r="A55" s="256"/>
      <c r="B55" s="206"/>
      <c r="C55" s="206"/>
      <c r="F55" s="206"/>
    </row>
    <row r="58" spans="1:6" x14ac:dyDescent="0.2">
      <c r="A58" s="499" t="s">
        <v>8</v>
      </c>
      <c r="B58" s="499" t="s">
        <v>31</v>
      </c>
      <c r="C58" s="499" t="s">
        <v>32</v>
      </c>
      <c r="D58" s="499" t="s">
        <v>33</v>
      </c>
    </row>
    <row r="59" spans="1:6" x14ac:dyDescent="0.2">
      <c r="A59" s="500"/>
      <c r="B59" s="501"/>
      <c r="C59" s="501"/>
      <c r="D59" s="501"/>
    </row>
    <row r="60" spans="1:6" x14ac:dyDescent="0.2">
      <c r="A60" s="500"/>
      <c r="B60" s="501"/>
      <c r="C60" s="501"/>
      <c r="D60" s="501"/>
    </row>
    <row r="61" spans="1:6" ht="26" x14ac:dyDescent="0.15">
      <c r="A61" s="3" t="s">
        <v>9</v>
      </c>
      <c r="B61" s="698" t="s">
        <v>709</v>
      </c>
      <c r="C61" s="4" t="s">
        <v>34</v>
      </c>
      <c r="D61" s="478">
        <v>183.761</v>
      </c>
      <c r="E61" s="497"/>
    </row>
    <row r="62" spans="1:6" x14ac:dyDescent="0.15">
      <c r="A62" s="5" t="s">
        <v>10</v>
      </c>
      <c r="B62" s="698"/>
      <c r="C62" s="4" t="s">
        <v>35</v>
      </c>
      <c r="D62" s="478">
        <v>6772.8780000000015</v>
      </c>
      <c r="E62" s="497"/>
    </row>
    <row r="63" spans="1:6" x14ac:dyDescent="0.15">
      <c r="A63" s="5" t="s">
        <v>11</v>
      </c>
      <c r="B63" s="4"/>
      <c r="C63" s="4" t="s">
        <v>35</v>
      </c>
      <c r="D63" s="478">
        <v>4319.8270000000002</v>
      </c>
      <c r="E63" s="497"/>
    </row>
    <row r="64" spans="1:6" x14ac:dyDescent="0.15">
      <c r="A64" s="5" t="s">
        <v>12</v>
      </c>
      <c r="B64" s="4"/>
      <c r="C64" s="4" t="s">
        <v>34</v>
      </c>
      <c r="D64" s="478">
        <v>1612.0500000000002</v>
      </c>
      <c r="E64" s="497"/>
    </row>
    <row r="65" spans="1:5" x14ac:dyDescent="0.15">
      <c r="A65" s="5" t="s">
        <v>13</v>
      </c>
      <c r="B65" s="4"/>
      <c r="C65" s="4" t="s">
        <v>34</v>
      </c>
      <c r="D65" s="478">
        <v>353.58800000000002</v>
      </c>
      <c r="E65" s="497"/>
    </row>
    <row r="66" spans="1:5" x14ac:dyDescent="0.15">
      <c r="A66" s="5" t="s">
        <v>14</v>
      </c>
      <c r="B66" s="4"/>
      <c r="C66" s="4" t="s">
        <v>35</v>
      </c>
      <c r="D66" s="479">
        <v>4915.7929999999997</v>
      </c>
      <c r="E66" s="497"/>
    </row>
    <row r="67" spans="1:5" x14ac:dyDescent="0.15">
      <c r="A67" s="5" t="s">
        <v>15</v>
      </c>
      <c r="B67" s="4"/>
      <c r="C67" s="4" t="s">
        <v>34</v>
      </c>
      <c r="D67" s="478">
        <v>2549.9479999999994</v>
      </c>
      <c r="E67" s="497"/>
    </row>
    <row r="68" spans="1:5" x14ac:dyDescent="0.15">
      <c r="A68" s="5" t="s">
        <v>16</v>
      </c>
      <c r="B68" s="4"/>
      <c r="C68" s="4" t="s">
        <v>36</v>
      </c>
      <c r="D68" s="478">
        <v>741.26900000000001</v>
      </c>
      <c r="E68" s="497"/>
    </row>
    <row r="69" spans="1:5" x14ac:dyDescent="0.15">
      <c r="A69" s="5" t="s">
        <v>17</v>
      </c>
      <c r="B69" s="4"/>
      <c r="C69" s="4" t="s">
        <v>35</v>
      </c>
      <c r="D69" s="478">
        <v>8643.7000000000025</v>
      </c>
      <c r="E69" s="497"/>
    </row>
    <row r="70" spans="1:5" x14ac:dyDescent="0.15">
      <c r="A70" s="5" t="s">
        <v>18</v>
      </c>
      <c r="B70" s="4"/>
      <c r="C70" s="4" t="s">
        <v>35</v>
      </c>
      <c r="D70" s="478">
        <v>2860.4270000000001</v>
      </c>
      <c r="E70" s="497"/>
    </row>
    <row r="71" spans="1:5" x14ac:dyDescent="0.15">
      <c r="A71" s="5" t="s">
        <v>19</v>
      </c>
      <c r="B71" s="4"/>
      <c r="C71" s="4" t="s">
        <v>35</v>
      </c>
      <c r="D71" s="478">
        <v>9034.3230000000021</v>
      </c>
      <c r="E71" s="497"/>
    </row>
    <row r="72" spans="1:5" x14ac:dyDescent="0.15">
      <c r="A72" s="5" t="s">
        <v>20</v>
      </c>
      <c r="B72" s="4"/>
      <c r="C72" s="4" t="s">
        <v>37</v>
      </c>
      <c r="D72" s="478">
        <v>2315.3180000000002</v>
      </c>
      <c r="E72" s="497"/>
    </row>
    <row r="73" spans="1:5" x14ac:dyDescent="0.15">
      <c r="A73" s="5" t="s">
        <v>21</v>
      </c>
      <c r="B73" s="4"/>
      <c r="C73" s="4" t="s">
        <v>35</v>
      </c>
      <c r="D73" s="478">
        <v>5717.201</v>
      </c>
      <c r="E73" s="497"/>
    </row>
    <row r="74" spans="1:5" x14ac:dyDescent="0.15">
      <c r="A74" s="5" t="s">
        <v>22</v>
      </c>
      <c r="B74" s="4"/>
      <c r="C74" s="4" t="s">
        <v>35</v>
      </c>
      <c r="D74" s="478">
        <v>3768.0449999999996</v>
      </c>
      <c r="E74" s="497"/>
    </row>
    <row r="75" spans="1:5" x14ac:dyDescent="0.15">
      <c r="A75" s="5" t="s">
        <v>23</v>
      </c>
      <c r="B75" s="4"/>
      <c r="C75" s="4" t="s">
        <v>34</v>
      </c>
      <c r="D75" s="478">
        <v>236.66199999999998</v>
      </c>
      <c r="E75" s="497"/>
    </row>
    <row r="76" spans="1:5" x14ac:dyDescent="0.15">
      <c r="A76" s="5" t="s">
        <v>24</v>
      </c>
      <c r="B76" s="4"/>
      <c r="C76" s="4" t="s">
        <v>35</v>
      </c>
      <c r="D76" s="478">
        <v>6640.8160000000016</v>
      </c>
      <c r="E76" s="497"/>
    </row>
    <row r="77" spans="1:5" x14ac:dyDescent="0.15">
      <c r="A77" s="5" t="s">
        <v>25</v>
      </c>
      <c r="B77" s="4"/>
      <c r="C77" s="4" t="s">
        <v>36</v>
      </c>
      <c r="D77" s="478">
        <v>837.08299999999997</v>
      </c>
      <c r="E77" s="497"/>
    </row>
    <row r="78" spans="1:5" x14ac:dyDescent="0.15">
      <c r="A78" s="5" t="s">
        <v>26</v>
      </c>
      <c r="B78" s="4"/>
      <c r="C78" s="4" t="s">
        <v>350</v>
      </c>
      <c r="D78" s="478">
        <v>1849.3409999999997</v>
      </c>
      <c r="E78" s="497"/>
    </row>
    <row r="79" spans="1:5" x14ac:dyDescent="0.15">
      <c r="A79" s="5" t="s">
        <v>27</v>
      </c>
      <c r="B79" s="4"/>
      <c r="C79" s="4" t="s">
        <v>37</v>
      </c>
      <c r="D79" s="478">
        <v>7884.7310000000007</v>
      </c>
      <c r="E79" s="497"/>
    </row>
    <row r="80" spans="1:5" x14ac:dyDescent="0.15">
      <c r="A80" s="5" t="s">
        <v>28</v>
      </c>
      <c r="B80" s="4"/>
      <c r="C80" s="4" t="s">
        <v>36</v>
      </c>
      <c r="D80" s="478">
        <v>2195.1750000000002</v>
      </c>
      <c r="E80" s="497"/>
    </row>
    <row r="81" spans="1:5" x14ac:dyDescent="0.15">
      <c r="A81" s="5" t="s">
        <v>29</v>
      </c>
      <c r="B81" s="4"/>
      <c r="C81" s="4" t="s">
        <v>37</v>
      </c>
      <c r="D81" s="478">
        <v>454.25200000000001</v>
      </c>
      <c r="E81" s="497"/>
    </row>
    <row r="82" spans="1:5" x14ac:dyDescent="0.15">
      <c r="A82" s="5" t="s">
        <v>30</v>
      </c>
      <c r="B82" s="4"/>
      <c r="C82" s="4" t="s">
        <v>35</v>
      </c>
      <c r="D82" s="478">
        <v>18064.454000000005</v>
      </c>
      <c r="E82" s="497"/>
    </row>
    <row r="83" spans="1:5" x14ac:dyDescent="0.2">
      <c r="C83" s="205" t="s">
        <v>361</v>
      </c>
      <c r="D83" s="477">
        <f>SUM(D61:D82)</f>
        <v>91950.642000000022</v>
      </c>
      <c r="E83" s="498"/>
    </row>
    <row r="87" spans="1:5" x14ac:dyDescent="0.2">
      <c r="E87" s="497"/>
    </row>
  </sheetData>
  <mergeCells count="21">
    <mergeCell ref="F44:F46"/>
    <mergeCell ref="A1:F1"/>
    <mergeCell ref="A47:A49"/>
    <mergeCell ref="B47:B49"/>
    <mergeCell ref="C47:C49"/>
    <mergeCell ref="F47:F49"/>
    <mergeCell ref="A13:A15"/>
    <mergeCell ref="B13:B15"/>
    <mergeCell ref="C13:C15"/>
    <mergeCell ref="F13:F15"/>
    <mergeCell ref="A41:A43"/>
    <mergeCell ref="B41:B43"/>
    <mergeCell ref="C41:C43"/>
    <mergeCell ref="F41:F43"/>
    <mergeCell ref="B44:B46"/>
    <mergeCell ref="A44:A46"/>
    <mergeCell ref="A58:A60"/>
    <mergeCell ref="B58:B60"/>
    <mergeCell ref="C58:C60"/>
    <mergeCell ref="D58:D60"/>
    <mergeCell ref="C44:C46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1CA1F-402B-8B4F-BC32-8ED715EDF118}">
  <dimension ref="A1:G36"/>
  <sheetViews>
    <sheetView workbookViewId="0">
      <selection activeCell="D36" sqref="D36"/>
    </sheetView>
  </sheetViews>
  <sheetFormatPr baseColWidth="10" defaultRowHeight="15" x14ac:dyDescent="0.2"/>
  <cols>
    <col min="1" max="1" width="3.5" customWidth="1"/>
    <col min="6" max="6" width="18.1640625" customWidth="1"/>
  </cols>
  <sheetData>
    <row r="1" spans="1:7" x14ac:dyDescent="0.2">
      <c r="B1" s="566" t="s">
        <v>415</v>
      </c>
      <c r="C1" s="566"/>
      <c r="D1" s="566"/>
      <c r="E1" s="566"/>
      <c r="F1" s="566"/>
      <c r="G1" s="566"/>
    </row>
    <row r="2" spans="1:7" x14ac:dyDescent="0.2">
      <c r="B2" s="321" t="s">
        <v>416</v>
      </c>
      <c r="C2" s="321">
        <v>2710</v>
      </c>
      <c r="D2" s="322"/>
      <c r="E2" s="322"/>
      <c r="F2" s="229"/>
      <c r="G2" s="322"/>
    </row>
    <row r="3" spans="1:7" x14ac:dyDescent="0.2">
      <c r="B3" s="321" t="s">
        <v>417</v>
      </c>
      <c r="C3" s="321">
        <v>6</v>
      </c>
      <c r="D3" s="322"/>
      <c r="E3" s="322"/>
      <c r="F3" s="229"/>
      <c r="G3" s="322"/>
    </row>
    <row r="4" spans="1:7" x14ac:dyDescent="0.2">
      <c r="B4" s="318"/>
      <c r="C4" s="318"/>
      <c r="D4" s="319"/>
      <c r="E4" s="319"/>
      <c r="F4" s="320"/>
      <c r="G4" s="319"/>
    </row>
    <row r="5" spans="1:7" x14ac:dyDescent="0.2">
      <c r="A5" s="237"/>
      <c r="B5" s="238" t="s">
        <v>691</v>
      </c>
      <c r="C5" s="238"/>
      <c r="D5" s="239"/>
      <c r="E5" s="239"/>
      <c r="F5" s="239"/>
    </row>
    <row r="6" spans="1:7" x14ac:dyDescent="0.2">
      <c r="A6" s="237"/>
      <c r="B6" s="569"/>
      <c r="C6" s="569"/>
      <c r="D6" s="569"/>
      <c r="E6" s="569"/>
      <c r="F6" s="569"/>
    </row>
    <row r="7" spans="1:7" x14ac:dyDescent="0.2">
      <c r="A7" s="237"/>
      <c r="B7" s="569"/>
      <c r="C7" s="569"/>
      <c r="D7" s="569"/>
      <c r="E7" s="569"/>
      <c r="F7" s="569"/>
    </row>
    <row r="8" spans="1:7" x14ac:dyDescent="0.2">
      <c r="A8" s="237"/>
      <c r="B8" s="569"/>
      <c r="C8" s="569"/>
      <c r="D8" s="569"/>
      <c r="E8" s="569"/>
      <c r="F8" s="569"/>
    </row>
    <row r="9" spans="1:7" x14ac:dyDescent="0.2">
      <c r="A9" s="237"/>
      <c r="B9" s="238" t="s">
        <v>692</v>
      </c>
      <c r="C9" s="238"/>
      <c r="D9" s="239"/>
      <c r="E9" s="239"/>
      <c r="F9" s="239"/>
    </row>
    <row r="10" spans="1:7" x14ac:dyDescent="0.2">
      <c r="A10" s="237"/>
      <c r="B10" s="569"/>
      <c r="C10" s="569"/>
      <c r="D10" s="569"/>
      <c r="E10" s="569"/>
      <c r="F10" s="569"/>
    </row>
    <row r="11" spans="1:7" x14ac:dyDescent="0.2">
      <c r="A11" s="237"/>
      <c r="B11" s="569"/>
      <c r="C11" s="569"/>
      <c r="D11" s="569"/>
      <c r="E11" s="569"/>
      <c r="F11" s="569"/>
    </row>
    <row r="12" spans="1:7" x14ac:dyDescent="0.2">
      <c r="A12" s="237"/>
      <c r="B12" s="570"/>
      <c r="C12" s="570"/>
      <c r="D12" s="570"/>
      <c r="E12" s="570"/>
      <c r="F12" s="570"/>
    </row>
    <row r="13" spans="1:7" x14ac:dyDescent="0.2">
      <c r="A13" s="237"/>
      <c r="B13" s="571" t="s">
        <v>631</v>
      </c>
      <c r="C13" s="572"/>
      <c r="D13" s="243" t="s">
        <v>632</v>
      </c>
      <c r="E13" s="243" t="s">
        <v>633</v>
      </c>
      <c r="F13" s="243" t="s">
        <v>634</v>
      </c>
    </row>
    <row r="14" spans="1:7" x14ac:dyDescent="0.2">
      <c r="A14" s="237"/>
      <c r="B14" s="567" t="s">
        <v>635</v>
      </c>
      <c r="C14" s="568"/>
      <c r="D14" s="244">
        <f>Assumptions!E6*(D28+D29)</f>
        <v>276.07470178916577</v>
      </c>
      <c r="E14" s="245" t="s">
        <v>636</v>
      </c>
      <c r="F14" s="246" t="s">
        <v>637</v>
      </c>
    </row>
    <row r="15" spans="1:7" x14ac:dyDescent="0.2">
      <c r="A15" s="237"/>
      <c r="B15" s="239"/>
      <c r="C15" s="239"/>
      <c r="D15" s="239"/>
      <c r="E15" s="239"/>
      <c r="F15" s="239"/>
    </row>
    <row r="16" spans="1:7" x14ac:dyDescent="0.2">
      <c r="A16" s="237"/>
      <c r="B16" s="238" t="s">
        <v>693</v>
      </c>
      <c r="C16" s="238"/>
      <c r="D16" s="239"/>
      <c r="E16" s="239"/>
      <c r="F16" s="239"/>
    </row>
    <row r="17" spans="1:6" x14ac:dyDescent="0.2">
      <c r="A17" s="237"/>
      <c r="B17" s="569"/>
      <c r="C17" s="569"/>
      <c r="D17" s="569"/>
      <c r="E17" s="569"/>
      <c r="F17" s="569"/>
    </row>
    <row r="18" spans="1:6" x14ac:dyDescent="0.2">
      <c r="A18" s="237"/>
      <c r="B18" s="569"/>
      <c r="C18" s="569"/>
      <c r="D18" s="569"/>
      <c r="E18" s="569"/>
      <c r="F18" s="569"/>
    </row>
    <row r="19" spans="1:6" x14ac:dyDescent="0.2">
      <c r="A19" s="237"/>
      <c r="B19" s="569"/>
      <c r="C19" s="569"/>
      <c r="D19" s="569"/>
      <c r="E19" s="569"/>
      <c r="F19" s="569"/>
    </row>
    <row r="20" spans="1:6" x14ac:dyDescent="0.2">
      <c r="A20" s="237"/>
      <c r="B20" s="569"/>
      <c r="C20" s="569"/>
      <c r="D20" s="569"/>
      <c r="E20" s="569"/>
      <c r="F20" s="569"/>
    </row>
    <row r="21" spans="1:6" x14ac:dyDescent="0.2">
      <c r="A21" s="237"/>
      <c r="B21" s="569"/>
      <c r="C21" s="569"/>
      <c r="D21" s="569"/>
      <c r="E21" s="569"/>
      <c r="F21" s="569"/>
    </row>
    <row r="22" spans="1:6" x14ac:dyDescent="0.2">
      <c r="A22" s="237"/>
      <c r="B22" s="569"/>
      <c r="C22" s="569"/>
      <c r="D22" s="569"/>
      <c r="E22" s="569"/>
      <c r="F22" s="569"/>
    </row>
    <row r="23" spans="1:6" x14ac:dyDescent="0.2">
      <c r="A23" s="237"/>
      <c r="B23" s="238" t="s">
        <v>694</v>
      </c>
      <c r="C23" s="238"/>
      <c r="D23" s="239"/>
      <c r="E23" s="239"/>
      <c r="F23" s="239"/>
    </row>
    <row r="24" spans="1:6" x14ac:dyDescent="0.2">
      <c r="A24" s="237"/>
      <c r="B24" s="569"/>
      <c r="C24" s="569"/>
      <c r="D24" s="569"/>
      <c r="E24" s="569"/>
      <c r="F24" s="569"/>
    </row>
    <row r="25" spans="1:6" x14ac:dyDescent="0.2">
      <c r="A25" s="237"/>
      <c r="B25" s="569"/>
      <c r="C25" s="569"/>
      <c r="D25" s="569"/>
      <c r="E25" s="569"/>
      <c r="F25" s="569"/>
    </row>
    <row r="26" spans="1:6" x14ac:dyDescent="0.2">
      <c r="A26" s="237"/>
      <c r="B26" s="570"/>
      <c r="C26" s="570"/>
      <c r="D26" s="570"/>
      <c r="E26" s="570"/>
      <c r="F26" s="570"/>
    </row>
    <row r="27" spans="1:6" x14ac:dyDescent="0.2">
      <c r="A27" s="237"/>
      <c r="B27" s="571" t="s">
        <v>631</v>
      </c>
      <c r="C27" s="572"/>
      <c r="D27" s="243" t="s">
        <v>632</v>
      </c>
      <c r="E27" s="243" t="s">
        <v>633</v>
      </c>
      <c r="F27" s="243" t="s">
        <v>634</v>
      </c>
    </row>
    <row r="28" spans="1:6" x14ac:dyDescent="0.2">
      <c r="A28" s="237"/>
      <c r="B28" s="567" t="s">
        <v>638</v>
      </c>
      <c r="C28" s="568"/>
      <c r="D28" s="247">
        <f>Assumptions!E41*Assumptions!E44*Assumptions!E47*Assumptions!E50*Assumptions!E33*(1-Assumptions!E51)/(1000*24*1000)*Assumptions!E52*44/28+Assumptions!E42*Assumptions!E45*Assumptions!E48*Assumptions!E50*Assumptions!E33*(1-Assumptions!E51)/(1000*24*1000)*Assumptions!E53*44/28+Assumptions!E43*Assumptions!E46*Assumptions!E49*Assumptions!E50*Assumptions!E33*(1-Assumptions!E51)/(1000*24*1000)*Assumptions!E52*44/28</f>
        <v>1.041791327506286</v>
      </c>
      <c r="E28" s="246" t="s">
        <v>639</v>
      </c>
      <c r="F28" s="246" t="s">
        <v>637</v>
      </c>
    </row>
    <row r="29" spans="1:6" ht="34" customHeight="1" x14ac:dyDescent="0.2">
      <c r="A29" s="237"/>
      <c r="B29" s="567" t="s">
        <v>640</v>
      </c>
      <c r="C29" s="568"/>
      <c r="D29" s="247">
        <f>Assumptions!E41*Assumptions!E44*Assumptions!E47*Assumptions!E50*Assumptions!E33*(1-Assumptions!E51)*Assumptions!E51*Assumptions!E54/(1000*24*1000)*44/28+Assumptions!E42*Assumptions!E45*Assumptions!E48*Assumptions!E50*Assumptions!E33*(1-Assumptions!E51)*Assumptions!E51*Assumptions!E54/(1000*24*1000)*44/28+Assumptions!E43*Assumptions!E46*Assumptions!E49*Assumptions!E50*Assumptions!E33*(1-Assumptions!E51)*Assumptions!E51*Assumptions!E54/(1000*24*1000)*44/28</f>
        <v>0</v>
      </c>
      <c r="E29" s="246" t="s">
        <v>639</v>
      </c>
      <c r="F29" s="323" t="s">
        <v>690</v>
      </c>
    </row>
    <row r="30" spans="1:6" x14ac:dyDescent="0.2">
      <c r="A30" s="237"/>
      <c r="B30" s="240"/>
      <c r="C30" s="240"/>
      <c r="D30" s="240"/>
      <c r="E30" s="240"/>
      <c r="F30" s="240"/>
    </row>
    <row r="31" spans="1:6" x14ac:dyDescent="0.2">
      <c r="A31" s="237"/>
      <c r="B31" s="238" t="s">
        <v>695</v>
      </c>
      <c r="C31" s="238"/>
      <c r="D31" s="239"/>
      <c r="E31" s="239"/>
      <c r="F31" s="239"/>
    </row>
    <row r="32" spans="1:6" x14ac:dyDescent="0.2">
      <c r="A32" s="237"/>
      <c r="B32" s="569"/>
      <c r="C32" s="569"/>
      <c r="D32" s="569"/>
      <c r="E32" s="569"/>
      <c r="F32" s="569"/>
    </row>
    <row r="33" spans="1:6" x14ac:dyDescent="0.2">
      <c r="A33" s="237"/>
      <c r="B33" s="569"/>
      <c r="C33" s="569"/>
      <c r="D33" s="569"/>
      <c r="E33" s="569"/>
      <c r="F33" s="569"/>
    </row>
    <row r="34" spans="1:6" x14ac:dyDescent="0.2">
      <c r="A34" s="237"/>
      <c r="B34" s="570"/>
      <c r="C34" s="570"/>
      <c r="D34" s="570"/>
      <c r="E34" s="570"/>
      <c r="F34" s="570"/>
    </row>
    <row r="35" spans="1:6" x14ac:dyDescent="0.2">
      <c r="A35" s="237"/>
      <c r="B35" s="571" t="s">
        <v>631</v>
      </c>
      <c r="C35" s="572"/>
      <c r="D35" s="243" t="s">
        <v>632</v>
      </c>
      <c r="E35" s="243" t="s">
        <v>633</v>
      </c>
      <c r="F35" s="243" t="s">
        <v>634</v>
      </c>
    </row>
    <row r="36" spans="1:6" x14ac:dyDescent="0.2">
      <c r="A36" s="237"/>
      <c r="B36" s="567" t="s">
        <v>641</v>
      </c>
      <c r="C36" s="568"/>
      <c r="D36" s="244">
        <f>Assumptions!E12*Assumptions!E13*Assumptions!E41*Assumptions!E50*Assumptions!E33/(24*365*1000)+Assumptions!E12*Assumptions!E14*Assumptions!E42*Assumptions!E50*Assumptions!E33/(24*365*1000)+Assumptions!E12*Assumptions!E15*Assumptions!E43*Assumptions!E50*Assumptions!E33/(24*365*1000)</f>
        <v>9948.5711111111123</v>
      </c>
      <c r="E36" s="248" t="s">
        <v>642</v>
      </c>
      <c r="F36" s="246" t="s">
        <v>637</v>
      </c>
    </row>
  </sheetData>
  <mergeCells count="13">
    <mergeCell ref="B1:G1"/>
    <mergeCell ref="B36:C36"/>
    <mergeCell ref="B17:F22"/>
    <mergeCell ref="B24:F26"/>
    <mergeCell ref="B27:C27"/>
    <mergeCell ref="B28:C28"/>
    <mergeCell ref="B29:C29"/>
    <mergeCell ref="B32:F34"/>
    <mergeCell ref="B6:F8"/>
    <mergeCell ref="B10:F12"/>
    <mergeCell ref="B13:C13"/>
    <mergeCell ref="B14:C14"/>
    <mergeCell ref="B35:C35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A606B-CFC1-354F-AAB2-BA847FBEFA91}">
  <dimension ref="A1:J35"/>
  <sheetViews>
    <sheetView workbookViewId="0">
      <selection activeCell="D35" sqref="D35"/>
    </sheetView>
  </sheetViews>
  <sheetFormatPr baseColWidth="10" defaultRowHeight="15" x14ac:dyDescent="0.2"/>
  <cols>
    <col min="1" max="1" width="4" customWidth="1"/>
  </cols>
  <sheetData>
    <row r="1" spans="1:10" ht="15" customHeight="1" x14ac:dyDescent="0.2">
      <c r="B1" s="573" t="s">
        <v>415</v>
      </c>
      <c r="C1" s="573"/>
      <c r="D1" s="573"/>
      <c r="E1" s="573"/>
      <c r="F1" s="573"/>
      <c r="G1" s="573"/>
      <c r="H1" s="573"/>
      <c r="I1" s="573"/>
      <c r="J1" s="573"/>
    </row>
    <row r="2" spans="1:10" x14ac:dyDescent="0.2">
      <c r="B2" s="321" t="s">
        <v>416</v>
      </c>
      <c r="C2" s="321">
        <v>2710</v>
      </c>
      <c r="D2" s="322"/>
      <c r="E2" s="322"/>
      <c r="F2" s="229"/>
      <c r="G2" s="322"/>
    </row>
    <row r="3" spans="1:10" x14ac:dyDescent="0.2">
      <c r="B3" s="321" t="s">
        <v>417</v>
      </c>
      <c r="C3" s="321">
        <v>6</v>
      </c>
      <c r="D3" s="322"/>
      <c r="E3" s="322"/>
      <c r="F3" s="229"/>
      <c r="G3" s="322"/>
    </row>
    <row r="4" spans="1:10" x14ac:dyDescent="0.2">
      <c r="B4" s="321"/>
      <c r="C4" s="321"/>
      <c r="D4" s="322"/>
      <c r="E4" s="322"/>
      <c r="F4" s="229"/>
      <c r="G4" s="322"/>
    </row>
    <row r="5" spans="1:10" x14ac:dyDescent="0.2">
      <c r="A5" s="237"/>
      <c r="B5" s="238" t="s">
        <v>696</v>
      </c>
      <c r="C5" s="238"/>
      <c r="D5" s="238"/>
      <c r="E5" s="238"/>
      <c r="F5" s="238"/>
      <c r="G5" s="238"/>
      <c r="H5" s="239"/>
      <c r="I5" s="239"/>
      <c r="J5" s="239"/>
    </row>
    <row r="6" spans="1:10" x14ac:dyDescent="0.2">
      <c r="A6" s="237"/>
      <c r="B6" s="569"/>
      <c r="C6" s="569"/>
      <c r="D6" s="569"/>
      <c r="E6" s="569"/>
      <c r="F6" s="569"/>
      <c r="G6" s="569"/>
      <c r="H6" s="569"/>
      <c r="I6" s="569"/>
      <c r="J6" s="569"/>
    </row>
    <row r="7" spans="1:10" x14ac:dyDescent="0.2">
      <c r="A7" s="237"/>
      <c r="B7" s="569"/>
      <c r="C7" s="569"/>
      <c r="D7" s="569"/>
      <c r="E7" s="569"/>
      <c r="F7" s="569"/>
      <c r="G7" s="569"/>
      <c r="H7" s="569"/>
      <c r="I7" s="569"/>
      <c r="J7" s="569"/>
    </row>
    <row r="8" spans="1:10" x14ac:dyDescent="0.2">
      <c r="A8" s="237"/>
      <c r="B8" s="570"/>
      <c r="C8" s="570"/>
      <c r="D8" s="570"/>
      <c r="E8" s="570"/>
      <c r="F8" s="570"/>
      <c r="G8" s="570"/>
      <c r="H8" s="570"/>
      <c r="I8" s="570"/>
      <c r="J8" s="570"/>
    </row>
    <row r="9" spans="1:10" x14ac:dyDescent="0.2">
      <c r="A9" s="237"/>
      <c r="B9" s="571" t="s">
        <v>631</v>
      </c>
      <c r="C9" s="572"/>
      <c r="D9" s="571" t="s">
        <v>632</v>
      </c>
      <c r="E9" s="574"/>
      <c r="F9" s="574"/>
      <c r="G9" s="574"/>
      <c r="H9" s="572"/>
      <c r="I9" s="243" t="s">
        <v>633</v>
      </c>
      <c r="J9" s="243" t="s">
        <v>634</v>
      </c>
    </row>
    <row r="10" spans="1:10" x14ac:dyDescent="0.2">
      <c r="A10" s="237"/>
      <c r="B10" s="241"/>
      <c r="C10" s="242"/>
      <c r="D10" s="242">
        <v>2018</v>
      </c>
      <c r="E10" s="242">
        <v>2019</v>
      </c>
      <c r="F10" s="242">
        <v>2020</v>
      </c>
      <c r="G10" s="243">
        <v>2021</v>
      </c>
      <c r="H10" s="249">
        <v>2022</v>
      </c>
      <c r="I10" s="243"/>
      <c r="J10" s="243"/>
    </row>
    <row r="11" spans="1:10" x14ac:dyDescent="0.2">
      <c r="A11" s="237"/>
      <c r="B11" s="567" t="s">
        <v>648</v>
      </c>
      <c r="C11" s="568"/>
      <c r="D11" s="244">
        <f>Assumptions!$E$6*(D26+D27)</f>
        <v>282.93126153320293</v>
      </c>
      <c r="E11" s="244">
        <f>Assumptions!$E$6*(E26+E27)</f>
        <v>287.89944129931285</v>
      </c>
      <c r="F11" s="244">
        <f>Assumptions!$E$6*(F26+F27)</f>
        <v>290.89502856061995</v>
      </c>
      <c r="G11" s="244">
        <f>Assumptions!$E$6*(G26+G27)</f>
        <v>288.51518326975145</v>
      </c>
      <c r="H11" s="244">
        <f>Assumptions!$E$6*(H26+H27)</f>
        <v>291.4666939987157</v>
      </c>
      <c r="I11" s="245" t="s">
        <v>636</v>
      </c>
      <c r="J11" s="246" t="s">
        <v>637</v>
      </c>
    </row>
    <row r="12" spans="1:10" x14ac:dyDescent="0.2">
      <c r="A12" s="237"/>
      <c r="B12" s="239"/>
      <c r="C12" s="239"/>
      <c r="D12" s="239"/>
      <c r="E12" s="239"/>
      <c r="F12" s="239"/>
      <c r="G12" s="239"/>
      <c r="H12" s="239"/>
      <c r="I12" s="239"/>
      <c r="J12" s="239"/>
    </row>
    <row r="13" spans="1:10" x14ac:dyDescent="0.2">
      <c r="A13" s="237"/>
      <c r="B13" s="238" t="s">
        <v>693</v>
      </c>
      <c r="C13" s="238"/>
      <c r="D13" s="238"/>
      <c r="E13" s="238"/>
      <c r="F13" s="238"/>
      <c r="G13" s="238"/>
      <c r="H13" s="239"/>
      <c r="I13" s="239"/>
      <c r="J13" s="239"/>
    </row>
    <row r="14" spans="1:10" x14ac:dyDescent="0.2">
      <c r="A14" s="237"/>
      <c r="B14" s="569"/>
      <c r="C14" s="569"/>
      <c r="D14" s="569"/>
      <c r="E14" s="569"/>
      <c r="F14" s="569"/>
      <c r="G14" s="569"/>
      <c r="H14" s="569"/>
      <c r="I14" s="569"/>
      <c r="J14" s="569"/>
    </row>
    <row r="15" spans="1:10" x14ac:dyDescent="0.2">
      <c r="A15" s="237"/>
      <c r="B15" s="569"/>
      <c r="C15" s="569"/>
      <c r="D15" s="569"/>
      <c r="E15" s="569"/>
      <c r="F15" s="569"/>
      <c r="G15" s="569"/>
      <c r="H15" s="569"/>
      <c r="I15" s="569"/>
      <c r="J15" s="569"/>
    </row>
    <row r="16" spans="1:10" x14ac:dyDescent="0.2">
      <c r="A16" s="237"/>
      <c r="B16" s="569"/>
      <c r="C16" s="569"/>
      <c r="D16" s="569"/>
      <c r="E16" s="569"/>
      <c r="F16" s="569"/>
      <c r="G16" s="569"/>
      <c r="H16" s="569"/>
      <c r="I16" s="569"/>
      <c r="J16" s="569"/>
    </row>
    <row r="17" spans="1:10" x14ac:dyDescent="0.2">
      <c r="A17" s="237"/>
      <c r="B17" s="569"/>
      <c r="C17" s="569"/>
      <c r="D17" s="569"/>
      <c r="E17" s="569"/>
      <c r="F17" s="569"/>
      <c r="G17" s="569"/>
      <c r="H17" s="569"/>
      <c r="I17" s="569"/>
      <c r="J17" s="569"/>
    </row>
    <row r="18" spans="1:10" x14ac:dyDescent="0.2">
      <c r="A18" s="237"/>
      <c r="B18" s="569"/>
      <c r="C18" s="569"/>
      <c r="D18" s="569"/>
      <c r="E18" s="569"/>
      <c r="F18" s="569"/>
      <c r="G18" s="569"/>
      <c r="H18" s="569"/>
      <c r="I18" s="569"/>
      <c r="J18" s="569"/>
    </row>
    <row r="19" spans="1:10" x14ac:dyDescent="0.2">
      <c r="A19" s="237"/>
      <c r="B19" s="570"/>
      <c r="C19" s="570"/>
      <c r="D19" s="570"/>
      <c r="E19" s="570"/>
      <c r="F19" s="570"/>
      <c r="G19" s="570"/>
      <c r="H19" s="570"/>
      <c r="I19" s="570"/>
      <c r="J19" s="570"/>
    </row>
    <row r="20" spans="1:10" x14ac:dyDescent="0.2">
      <c r="A20" s="237"/>
      <c r="B20" s="238" t="s">
        <v>694</v>
      </c>
      <c r="C20" s="238"/>
      <c r="D20" s="238"/>
      <c r="E20" s="238"/>
      <c r="F20" s="238"/>
      <c r="G20" s="238"/>
      <c r="H20" s="239"/>
      <c r="I20" s="239"/>
      <c r="J20" s="239"/>
    </row>
    <row r="21" spans="1:10" x14ac:dyDescent="0.2">
      <c r="A21" s="237"/>
      <c r="B21" s="569"/>
      <c r="C21" s="569"/>
      <c r="D21" s="569"/>
      <c r="E21" s="569"/>
      <c r="F21" s="569"/>
      <c r="G21" s="569"/>
      <c r="H21" s="569"/>
      <c r="I21" s="569"/>
      <c r="J21" s="569"/>
    </row>
    <row r="22" spans="1:10" x14ac:dyDescent="0.2">
      <c r="A22" s="237"/>
      <c r="B22" s="569"/>
      <c r="C22" s="569"/>
      <c r="D22" s="569"/>
      <c r="E22" s="569"/>
      <c r="F22" s="569"/>
      <c r="G22" s="569"/>
      <c r="H22" s="569"/>
      <c r="I22" s="569"/>
      <c r="J22" s="569"/>
    </row>
    <row r="23" spans="1:10" x14ac:dyDescent="0.2">
      <c r="A23" s="237"/>
      <c r="B23" s="570"/>
      <c r="C23" s="570"/>
      <c r="D23" s="570"/>
      <c r="E23" s="570"/>
      <c r="F23" s="570"/>
      <c r="G23" s="570"/>
      <c r="H23" s="570"/>
      <c r="I23" s="570"/>
      <c r="J23" s="570"/>
    </row>
    <row r="24" spans="1:10" x14ac:dyDescent="0.2">
      <c r="A24" s="237"/>
      <c r="B24" s="571" t="s">
        <v>631</v>
      </c>
      <c r="C24" s="572"/>
      <c r="D24" s="571" t="s">
        <v>632</v>
      </c>
      <c r="E24" s="574"/>
      <c r="F24" s="574"/>
      <c r="G24" s="574"/>
      <c r="H24" s="572"/>
      <c r="I24" s="243" t="s">
        <v>633</v>
      </c>
      <c r="J24" s="243" t="s">
        <v>634</v>
      </c>
    </row>
    <row r="25" spans="1:10" x14ac:dyDescent="0.2">
      <c r="A25" s="237"/>
      <c r="B25" s="241"/>
      <c r="C25" s="242"/>
      <c r="D25" s="242">
        <v>2018</v>
      </c>
      <c r="E25" s="242">
        <v>2019</v>
      </c>
      <c r="F25" s="242">
        <v>2020</v>
      </c>
      <c r="G25" s="243">
        <v>2021</v>
      </c>
      <c r="H25" s="249">
        <v>2022</v>
      </c>
      <c r="I25" s="243"/>
      <c r="J25" s="243"/>
    </row>
    <row r="26" spans="1:10" x14ac:dyDescent="0.2">
      <c r="A26" s="237"/>
      <c r="B26" s="567" t="s">
        <v>649</v>
      </c>
      <c r="C26" s="568"/>
      <c r="D26" s="247">
        <f>PDB_Livestock!H70*Assumptions!$E$44*Assumptions!$E$47*Assumptions!$E$50*Assumptions!$E$33*(1-Assumptions!$E$51)/(1000*24*1000)*Assumptions!$E$52*44/28+PDB_Livestock!H71*Assumptions!$E$45*Assumptions!$E$48*Assumptions!$E$50*Assumptions!$E$33*(1-Assumptions!$E$51)/(1000*24*1000)*Assumptions!$E$53*44/28+PDB_Livestock!H72*Assumptions!$E$46*Assumptions!$E$49*Assumptions!$E$50*Assumptions!$E$33*(1-Assumptions!$E$51)/(1000*24*1000)*Assumptions!$E$52*44/28</f>
        <v>1.067665137861143</v>
      </c>
      <c r="E26" s="247">
        <f>PDB_Livestock!I70*Assumptions!$E$44*Assumptions!$E$47*Assumptions!$E$50*Assumptions!$E$33*(1-Assumptions!$E$51)/(1000*24*1000)*Assumptions!$E$52*44/28+PDB_Livestock!I71*Assumptions!$E$45*Assumptions!$E$48*Assumptions!$E$50*Assumptions!$E$33*(1-Assumptions!$E$51)/(1000*24*1000)*Assumptions!$E$53*44/28+PDB_Livestock!I72*Assumptions!$E$46*Assumptions!$E$49*Assumptions!$E$50*Assumptions!$E$33*(1-Assumptions!$E$51)/(1000*24*1000)*Assumptions!$E$52*44/28</f>
        <v>1.0864129860351428</v>
      </c>
      <c r="F26" s="247">
        <f>PDB_Livestock!J70*Assumptions!$E$44*Assumptions!$E$47*Assumptions!$E$50*Assumptions!$E$33*(1-Assumptions!$E$51)/(1000*24*1000)*Assumptions!$E$52*44/28+PDB_Livestock!J71*Assumptions!$E$45*Assumptions!$E$48*Assumptions!$E$50*Assumptions!$E$33*(1-Assumptions!$E$51)/(1000*24*1000)*Assumptions!$E$53*44/28+PDB_Livestock!J72*Assumptions!$E$46*Assumptions!$E$49*Assumptions!$E$50*Assumptions!$E$33*(1-Assumptions!$E$51)/(1000*24*1000)*Assumptions!$E$52*44/28</f>
        <v>1.0977170889079999</v>
      </c>
      <c r="G26" s="247">
        <f>PDB_Livestock!K70*Assumptions!$E$44*Assumptions!$E$47*Assumptions!$E$50*Assumptions!$E$33*(1-Assumptions!$E$51)/(1000*24*1000)*Assumptions!$E$52*44/28+PDB_Livestock!K71*Assumptions!$E$45*Assumptions!$E$48*Assumptions!$E$50*Assumptions!$E$33*(1-Assumptions!$E$51)/(1000*24*1000)*Assumptions!$E$53*44/28+PDB_Livestock!K72*Assumptions!$E$46*Assumptions!$E$49*Assumptions!$E$50*Assumptions!$E$33*(1-Assumptions!$E$51)/(1000*24*1000)*Assumptions!$E$52*44/28</f>
        <v>1.0887365406405716</v>
      </c>
      <c r="H26" s="247">
        <f>PDB_Livestock!L70*Assumptions!$E$44*Assumptions!$E$47*Assumptions!$E$50*Assumptions!$E$33*(1-Assumptions!$E$51)/(1000*24*1000)*Assumptions!$E$52*44/28+PDB_Livestock!L71*Assumptions!$E$45*Assumptions!$E$48*Assumptions!$E$50*Assumptions!$E$33*(1-Assumptions!$E$51)/(1000*24*1000)*Assumptions!$E$53*44/28+PDB_Livestock!L72*Assumptions!$E$46*Assumptions!$E$49*Assumptions!$E$50*Assumptions!$E$33*(1-Assumptions!$E$51)/(1000*24*1000)*Assumptions!$E$52*44/28</f>
        <v>1.0998743169762857</v>
      </c>
      <c r="I26" s="246" t="s">
        <v>639</v>
      </c>
      <c r="J26" s="246" t="s">
        <v>637</v>
      </c>
    </row>
    <row r="27" spans="1:10" x14ac:dyDescent="0.2">
      <c r="A27" s="237"/>
      <c r="B27" s="567" t="s">
        <v>650</v>
      </c>
      <c r="C27" s="568"/>
      <c r="D27" s="247">
        <f>PDB_Livestock!H70*Assumptions!$E$44*Assumptions!$E$47*Assumptions!$E$50*Assumptions!$E$33*(1-Assumptions!$E$51)*Assumptions!$E$51*Assumptions!$E$54/(1000*24*1000)*44/28+PDB_Livestock!H71*Assumptions!$E$45*Assumptions!$E$48*Assumptions!$E$50*Assumptions!$E$22*(1-Assumptions!$E$51)*Assumptions!$E$51*Assumptions!$E$54/(1000*24*1000)*44/28+PDB_Livestock!H70*Assumptions!$E$46*Assumptions!$E$49*Assumptions!$E$50*Assumptions!$E$33*(1-Assumptions!$E$51)*Assumptions!$E$51*Assumptions!$E$54/(1000*24*1000)*44/28</f>
        <v>0</v>
      </c>
      <c r="E27" s="247">
        <f>PDB_Livestock!I70*Assumptions!$E$44*Assumptions!$E$47*Assumptions!$E$50*Assumptions!$E$33*(1-Assumptions!$E$51)*Assumptions!$E$51*Assumptions!$E$54/(1000*24*1000)*44/28+PDB_Livestock!I71*Assumptions!$E$45*Assumptions!$E$48*Assumptions!$E$50*Assumptions!$E$22*(1-Assumptions!$E$51)*Assumptions!$E$51*Assumptions!$E$54/(1000*24*1000)*44/28+PDB_Livestock!I70*Assumptions!$E$46*Assumptions!$E$49*Assumptions!$E$50*Assumptions!$E$33*(1-Assumptions!$E$51)*Assumptions!$E$51*Assumptions!$E$54/(1000*24*1000)*44/28</f>
        <v>0</v>
      </c>
      <c r="F27" s="247">
        <f>PDB_Livestock!J70*Assumptions!$E$44*Assumptions!$E$47*Assumptions!$E$50*Assumptions!$E$33*(1-Assumptions!$E$51)*Assumptions!$E$51*Assumptions!$E$54/(1000*24*1000)*44/28+PDB_Livestock!J71*Assumptions!$E$45*Assumptions!$E$48*Assumptions!$E$50*Assumptions!$E$22*(1-Assumptions!$E$51)*Assumptions!$E$51*Assumptions!$E$54/(1000*24*1000)*44/28+PDB_Livestock!J70*Assumptions!$E$46*Assumptions!$E$49*Assumptions!$E$50*Assumptions!$E$33*(1-Assumptions!$E$51)*Assumptions!$E$51*Assumptions!$E$54/(1000*24*1000)*44/28</f>
        <v>0</v>
      </c>
      <c r="G27" s="247">
        <f>PDB_Livestock!K70*Assumptions!$E$44*Assumptions!$E$47*Assumptions!$E$50*Assumptions!$E$33*(1-Assumptions!$E$51)*Assumptions!$E$51*Assumptions!$E$54/(1000*24*1000)*44/28+PDB_Livestock!K71*Assumptions!$E$45*Assumptions!$E$48*Assumptions!$E$50*Assumptions!$E$22*(1-Assumptions!$E$51)*Assumptions!$E$51*Assumptions!$E$54/(1000*24*1000)*44/28+PDB_Livestock!K70*Assumptions!$E$46*Assumptions!$E$49*Assumptions!$E$50*Assumptions!$E$33*(1-Assumptions!$E$51)*Assumptions!$E$51*Assumptions!$E$54/(1000*24*1000)*44/28</f>
        <v>0</v>
      </c>
      <c r="H27" s="247">
        <f>PDB_Livestock!L70*Assumptions!$E$44*Assumptions!$E$47*Assumptions!$E$50*Assumptions!$E$33*(1-Assumptions!$E$51)*Assumptions!$E$51*Assumptions!$E$54/(1000*24*1000)*44/28+PDB_Livestock!L71*Assumptions!$E$45*Assumptions!$E$48*Assumptions!$E$50*Assumptions!$E$22*(1-Assumptions!$E$51)*Assumptions!$E$51*Assumptions!$E$54/(1000*24*1000)*44/28+PDB_Livestock!L70*Assumptions!$E$46*Assumptions!$E$49*Assumptions!$E$50*Assumptions!$E$33*(1-Assumptions!$E$51)*Assumptions!$E$51*Assumptions!$E$54/(1000*24*1000)*44/28</f>
        <v>0</v>
      </c>
      <c r="I27" s="246" t="s">
        <v>639</v>
      </c>
      <c r="J27" s="246" t="s">
        <v>689</v>
      </c>
    </row>
    <row r="28" spans="1:10" x14ac:dyDescent="0.2">
      <c r="A28" s="237"/>
      <c r="B28" s="240"/>
      <c r="C28" s="240"/>
      <c r="D28" s="240"/>
      <c r="E28" s="240"/>
      <c r="F28" s="240"/>
      <c r="G28" s="240"/>
      <c r="H28" s="240"/>
      <c r="I28" s="240"/>
      <c r="J28" s="240"/>
    </row>
    <row r="29" spans="1:10" x14ac:dyDescent="0.2">
      <c r="A29" s="237"/>
      <c r="B29" s="238" t="s">
        <v>695</v>
      </c>
      <c r="C29" s="238"/>
      <c r="D29" s="238"/>
      <c r="E29" s="238"/>
      <c r="F29" s="238"/>
      <c r="G29" s="238"/>
      <c r="H29" s="239"/>
      <c r="I29" s="239"/>
      <c r="J29" s="239"/>
    </row>
    <row r="30" spans="1:10" x14ac:dyDescent="0.2">
      <c r="A30" s="237"/>
      <c r="B30" s="569"/>
      <c r="C30" s="569"/>
      <c r="D30" s="569"/>
      <c r="E30" s="569"/>
      <c r="F30" s="569"/>
      <c r="G30" s="569"/>
      <c r="H30" s="569"/>
      <c r="I30" s="569"/>
      <c r="J30" s="569"/>
    </row>
    <row r="31" spans="1:10" x14ac:dyDescent="0.2">
      <c r="A31" s="237"/>
      <c r="B31" s="569"/>
      <c r="C31" s="569"/>
      <c r="D31" s="569"/>
      <c r="E31" s="569"/>
      <c r="F31" s="569"/>
      <c r="G31" s="569"/>
      <c r="H31" s="569"/>
      <c r="I31" s="569"/>
      <c r="J31" s="569"/>
    </row>
    <row r="32" spans="1:10" x14ac:dyDescent="0.2">
      <c r="A32" s="237"/>
      <c r="B32" s="570"/>
      <c r="C32" s="570"/>
      <c r="D32" s="570"/>
      <c r="E32" s="570"/>
      <c r="F32" s="570"/>
      <c r="G32" s="570"/>
      <c r="H32" s="570"/>
      <c r="I32" s="570"/>
      <c r="J32" s="570"/>
    </row>
    <row r="33" spans="1:10" x14ac:dyDescent="0.2">
      <c r="A33" s="237"/>
      <c r="B33" s="575" t="s">
        <v>631</v>
      </c>
      <c r="C33" s="576"/>
      <c r="D33" s="571" t="s">
        <v>632</v>
      </c>
      <c r="E33" s="574"/>
      <c r="F33" s="574"/>
      <c r="G33" s="574"/>
      <c r="H33" s="572"/>
      <c r="I33" s="243" t="s">
        <v>633</v>
      </c>
      <c r="J33" s="243" t="s">
        <v>634</v>
      </c>
    </row>
    <row r="34" spans="1:10" x14ac:dyDescent="0.2">
      <c r="A34" s="237"/>
      <c r="B34" s="250"/>
      <c r="C34" s="251"/>
      <c r="D34" s="242">
        <v>2018</v>
      </c>
      <c r="E34" s="242">
        <v>2019</v>
      </c>
      <c r="F34" s="242">
        <v>2020</v>
      </c>
      <c r="G34" s="243">
        <v>2021</v>
      </c>
      <c r="H34" s="249">
        <v>2022</v>
      </c>
      <c r="I34" s="243"/>
      <c r="J34" s="243"/>
    </row>
    <row r="35" spans="1:10" x14ac:dyDescent="0.2">
      <c r="A35" s="237"/>
      <c r="B35" s="567" t="s">
        <v>651</v>
      </c>
      <c r="C35" s="568"/>
      <c r="D35" s="244">
        <f>Assumptions!$E$12*Assumptions!$E$13*PDB_Livestock!H70*Assumptions!$E$50*Assumptions!$E$33/(24*365*1000)+Assumptions!$E$12*Assumptions!$E$14*PDB_Livestock!H71*Assumptions!$E$50*Assumptions!$E$33/(24*365*1000)+Assumptions!$E$12*Assumptions!$E$15*PDB_Livestock!H72*Assumptions!$E$50*Assumptions!$E$33/(24*365*1000)</f>
        <v>10267.618666666667</v>
      </c>
      <c r="E35" s="244">
        <f>Assumptions!$E$12*Assumptions!$E$13*PDB_Livestock!I70*Assumptions!$E$50*Assumptions!$E$33/(24*365*1000)+Assumptions!$E$12*Assumptions!$E$14*PDB_Livestock!I71*Assumptions!$E$50*Assumptions!$E$33/(24*365*1000)+Assumptions!$E$12*Assumptions!$E$15*PDB_Livestock!I72*Assumptions!$E$50*Assumptions!$E$33/(24*365*1000)</f>
        <v>10444.588</v>
      </c>
      <c r="F35" s="244">
        <f>Assumptions!$E$12*Assumptions!$E$13*PDB_Livestock!J70*Assumptions!$E$50*Assumptions!$E$33/(24*365*1000)+Assumptions!$E$12*Assumptions!$E$14*PDB_Livestock!J71*Assumptions!$E$50*Assumptions!$E$33/(24*365*1000)+Assumptions!$E$12*Assumptions!$E$15*PDB_Livestock!J72*Assumptions!$E$50*Assumptions!$E$33/(24*365*1000)</f>
        <v>10517.350666666667</v>
      </c>
      <c r="G35" s="244">
        <f>Assumptions!$E$12*Assumptions!$E$13*PDB_Livestock!K70*Assumptions!$E$50*Assumptions!$E$33/(24*365*1000)+Assumptions!$E$12*Assumptions!$E$14*PDB_Livestock!K71*Assumptions!$E$50*Assumptions!$E$33/(24*365*1000)+Assumptions!$E$12*Assumptions!$E$15*PDB_Livestock!K72*Assumptions!$E$50*Assumptions!$E$33/(24*365*1000)</f>
        <v>10459.045333333333</v>
      </c>
      <c r="H35" s="244">
        <f>Assumptions!$E$12*Assumptions!$E$13*PDB_Livestock!L70*Assumptions!$E$50*Assumptions!$E$33/(24*365*1000)+Assumptions!$E$12*Assumptions!$E$14*PDB_Livestock!L71*Assumptions!$E$50*Assumptions!$E$33/(24*365*1000)+Assumptions!$E$12*Assumptions!$E$15*PDB_Livestock!L72*Assumptions!$E$50*Assumptions!$E$33/(24*365*1000)</f>
        <v>10584.728000000001</v>
      </c>
      <c r="I35" s="248" t="s">
        <v>642</v>
      </c>
      <c r="J35" s="246" t="s">
        <v>637</v>
      </c>
    </row>
  </sheetData>
  <mergeCells count="15">
    <mergeCell ref="B1:J1"/>
    <mergeCell ref="B35:C35"/>
    <mergeCell ref="B24:C24"/>
    <mergeCell ref="D24:H24"/>
    <mergeCell ref="B26:C26"/>
    <mergeCell ref="B27:C27"/>
    <mergeCell ref="B30:J32"/>
    <mergeCell ref="B33:C33"/>
    <mergeCell ref="D33:H33"/>
    <mergeCell ref="B21:J23"/>
    <mergeCell ref="B6:J8"/>
    <mergeCell ref="B9:C9"/>
    <mergeCell ref="D9:H9"/>
    <mergeCell ref="B11:C11"/>
    <mergeCell ref="B14:J19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032EB-F512-4443-95F0-7DCF2AC09FE3}">
  <dimension ref="A1:AM109"/>
  <sheetViews>
    <sheetView zoomScale="110" zoomScaleNormal="110" workbookViewId="0">
      <pane xSplit="1" topLeftCell="B1" activePane="topRight" state="frozen"/>
      <selection pane="topRight" activeCell="B9" sqref="B9:B21"/>
    </sheetView>
  </sheetViews>
  <sheetFormatPr baseColWidth="10" defaultColWidth="8.83203125" defaultRowHeight="15" x14ac:dyDescent="0.2"/>
  <cols>
    <col min="2" max="2" width="15.33203125" customWidth="1"/>
    <col min="3" max="3" width="14.1640625" customWidth="1"/>
    <col min="5" max="5" width="10.6640625" bestFit="1" customWidth="1"/>
    <col min="6" max="6" width="22.5" customWidth="1"/>
    <col min="7" max="7" width="15.6640625" customWidth="1"/>
    <col min="8" max="8" width="9.1640625" customWidth="1"/>
    <col min="9" max="9" width="12.83203125" customWidth="1"/>
    <col min="10" max="10" width="10.33203125" customWidth="1"/>
    <col min="11" max="11" width="13.5" customWidth="1"/>
    <col min="12" max="12" width="8.1640625" customWidth="1"/>
    <col min="13" max="13" width="10" customWidth="1"/>
    <col min="14" max="14" width="25" customWidth="1"/>
    <col min="15" max="15" width="14.1640625" customWidth="1"/>
    <col min="16" max="16" width="16.1640625" customWidth="1"/>
    <col min="17" max="17" width="13.83203125" customWidth="1"/>
    <col min="18" max="18" width="14.5" customWidth="1"/>
    <col min="19" max="19" width="10" customWidth="1"/>
    <col min="20" max="20" width="10.33203125" customWidth="1"/>
    <col min="21" max="21" width="25" customWidth="1"/>
    <col min="22" max="22" width="15.83203125" customWidth="1"/>
    <col min="23" max="23" width="27.5" customWidth="1"/>
    <col min="24" max="24" width="21.1640625" customWidth="1"/>
    <col min="25" max="26" width="14.5" customWidth="1"/>
    <col min="27" max="27" width="9.5" customWidth="1"/>
    <col min="28" max="28" width="25" customWidth="1"/>
    <col min="29" max="29" width="15.83203125" customWidth="1"/>
    <col min="30" max="30" width="27.5" customWidth="1"/>
    <col min="31" max="31" width="28.1640625" customWidth="1"/>
    <col min="32" max="33" width="14.5" customWidth="1"/>
    <col min="34" max="34" width="9.5" customWidth="1"/>
    <col min="35" max="35" width="25" customWidth="1"/>
    <col min="36" max="36" width="15.83203125" customWidth="1"/>
    <col min="37" max="37" width="27.5" customWidth="1"/>
    <col min="38" max="38" width="21.1640625" customWidth="1"/>
    <col min="39" max="39" width="14.1640625" customWidth="1"/>
  </cols>
  <sheetData>
    <row r="1" spans="1:39" x14ac:dyDescent="0.2">
      <c r="A1" s="577" t="s">
        <v>415</v>
      </c>
      <c r="B1" s="577"/>
      <c r="C1" s="577"/>
      <c r="D1" s="577"/>
      <c r="E1" s="577"/>
      <c r="F1" s="577"/>
    </row>
    <row r="2" spans="1:39" x14ac:dyDescent="0.2">
      <c r="A2" s="108" t="s">
        <v>416</v>
      </c>
      <c r="B2" s="108">
        <v>2710</v>
      </c>
      <c r="E2" s="11"/>
    </row>
    <row r="3" spans="1:39" x14ac:dyDescent="0.2">
      <c r="A3" s="108" t="s">
        <v>417</v>
      </c>
      <c r="B3" s="108">
        <v>6</v>
      </c>
      <c r="E3" s="11"/>
    </row>
    <row r="5" spans="1:39" ht="21" customHeight="1" x14ac:dyDescent="0.2">
      <c r="A5" s="499" t="s">
        <v>8</v>
      </c>
      <c r="B5" s="499" t="s">
        <v>169</v>
      </c>
      <c r="C5" s="499" t="s">
        <v>31</v>
      </c>
      <c r="D5" s="499" t="s">
        <v>32</v>
      </c>
      <c r="E5" s="499" t="s">
        <v>65</v>
      </c>
      <c r="F5" s="516" t="s">
        <v>91</v>
      </c>
      <c r="G5" s="525">
        <v>2013</v>
      </c>
      <c r="H5" s="525"/>
      <c r="I5" s="525"/>
      <c r="J5" s="525"/>
      <c r="K5" s="525">
        <v>2014</v>
      </c>
      <c r="L5" s="525"/>
      <c r="M5" s="525"/>
      <c r="N5" s="516"/>
      <c r="O5" s="516"/>
      <c r="P5" s="516"/>
      <c r="Q5" s="516"/>
      <c r="R5" s="525">
        <v>2015</v>
      </c>
      <c r="S5" s="525"/>
      <c r="T5" s="525"/>
      <c r="U5" s="516"/>
      <c r="V5" s="516"/>
      <c r="W5" s="516"/>
      <c r="X5" s="516"/>
      <c r="Y5" s="525">
        <v>2016</v>
      </c>
      <c r="Z5" s="525"/>
      <c r="AA5" s="525"/>
      <c r="AB5" s="516"/>
      <c r="AC5" s="516"/>
      <c r="AD5" s="516"/>
      <c r="AE5" s="516"/>
      <c r="AF5" s="525">
        <v>2017</v>
      </c>
      <c r="AG5" s="525"/>
      <c r="AH5" s="525"/>
      <c r="AI5" s="516"/>
      <c r="AJ5" s="516"/>
      <c r="AK5" s="516"/>
      <c r="AL5" s="516"/>
      <c r="AM5" s="10"/>
    </row>
    <row r="6" spans="1:39" ht="96" x14ac:dyDescent="0.2">
      <c r="A6" s="500"/>
      <c r="B6" s="501"/>
      <c r="C6" s="501"/>
      <c r="D6" s="501"/>
      <c r="E6" s="501"/>
      <c r="F6" s="516"/>
      <c r="G6" s="54" t="s">
        <v>336</v>
      </c>
      <c r="H6" s="54" t="s">
        <v>203</v>
      </c>
      <c r="I6" s="57" t="s">
        <v>205</v>
      </c>
      <c r="J6" s="54" t="s">
        <v>85</v>
      </c>
      <c r="K6" s="54" t="s">
        <v>337</v>
      </c>
      <c r="L6" s="54" t="s">
        <v>203</v>
      </c>
      <c r="M6" s="57" t="s">
        <v>205</v>
      </c>
      <c r="N6" s="54" t="s">
        <v>341</v>
      </c>
      <c r="O6" s="54" t="s">
        <v>85</v>
      </c>
      <c r="P6" s="54" t="s">
        <v>342</v>
      </c>
      <c r="Q6" s="54" t="s">
        <v>343</v>
      </c>
      <c r="R6" s="54" t="s">
        <v>340</v>
      </c>
      <c r="S6" s="54" t="s">
        <v>203</v>
      </c>
      <c r="T6" s="57" t="s">
        <v>205</v>
      </c>
      <c r="U6" s="54" t="s">
        <v>341</v>
      </c>
      <c r="V6" s="54" t="s">
        <v>85</v>
      </c>
      <c r="W6" s="54" t="s">
        <v>342</v>
      </c>
      <c r="X6" s="54" t="s">
        <v>343</v>
      </c>
      <c r="Y6" s="54" t="s">
        <v>339</v>
      </c>
      <c r="Z6" s="54" t="s">
        <v>203</v>
      </c>
      <c r="AA6" s="57" t="s">
        <v>205</v>
      </c>
      <c r="AB6" s="54" t="s">
        <v>341</v>
      </c>
      <c r="AC6" s="54" t="s">
        <v>85</v>
      </c>
      <c r="AD6" s="54" t="s">
        <v>342</v>
      </c>
      <c r="AE6" s="54" t="s">
        <v>343</v>
      </c>
      <c r="AF6" s="54" t="s">
        <v>338</v>
      </c>
      <c r="AG6" s="54" t="s">
        <v>203</v>
      </c>
      <c r="AH6" s="57" t="s">
        <v>205</v>
      </c>
      <c r="AI6" s="54" t="s">
        <v>341</v>
      </c>
      <c r="AJ6" s="54" t="s">
        <v>85</v>
      </c>
      <c r="AK6" s="54" t="s">
        <v>342</v>
      </c>
      <c r="AL6" s="54" t="s">
        <v>343</v>
      </c>
      <c r="AM6" s="54" t="s">
        <v>348</v>
      </c>
    </row>
    <row r="7" spans="1:39" ht="18" x14ac:dyDescent="0.25">
      <c r="A7" s="578"/>
      <c r="B7" s="579"/>
      <c r="C7" s="579"/>
      <c r="D7" s="579"/>
      <c r="E7" s="579"/>
      <c r="F7" s="516"/>
      <c r="G7" s="38" t="s">
        <v>83</v>
      </c>
      <c r="H7" s="54"/>
      <c r="I7" s="57" t="s">
        <v>206</v>
      </c>
      <c r="J7" s="38" t="s">
        <v>87</v>
      </c>
      <c r="K7" s="38" t="s">
        <v>83</v>
      </c>
      <c r="L7" s="54"/>
      <c r="M7" s="57" t="s">
        <v>206</v>
      </c>
      <c r="N7" s="211" t="s">
        <v>615</v>
      </c>
      <c r="O7" s="38" t="s">
        <v>87</v>
      </c>
      <c r="P7" s="38" t="s">
        <v>147</v>
      </c>
      <c r="Q7" s="38" t="s">
        <v>90</v>
      </c>
      <c r="R7" s="38" t="s">
        <v>83</v>
      </c>
      <c r="S7" s="54"/>
      <c r="T7" s="57" t="s">
        <v>206</v>
      </c>
      <c r="U7" s="211" t="s">
        <v>615</v>
      </c>
      <c r="V7" s="38" t="s">
        <v>87</v>
      </c>
      <c r="W7" s="38" t="s">
        <v>147</v>
      </c>
      <c r="X7" s="38" t="s">
        <v>90</v>
      </c>
      <c r="Y7" s="38" t="s">
        <v>83</v>
      </c>
      <c r="Z7" s="54"/>
      <c r="AA7" s="57" t="s">
        <v>206</v>
      </c>
      <c r="AB7" s="211" t="s">
        <v>615</v>
      </c>
      <c r="AC7" s="38" t="s">
        <v>87</v>
      </c>
      <c r="AD7" s="38" t="s">
        <v>147</v>
      </c>
      <c r="AE7" s="38" t="s">
        <v>90</v>
      </c>
      <c r="AF7" s="38" t="s">
        <v>83</v>
      </c>
      <c r="AG7" s="54"/>
      <c r="AH7" s="57" t="s">
        <v>206</v>
      </c>
      <c r="AI7" s="211" t="s">
        <v>615</v>
      </c>
      <c r="AJ7" s="38" t="s">
        <v>87</v>
      </c>
      <c r="AK7" s="38" t="s">
        <v>147</v>
      </c>
      <c r="AL7" s="38" t="s">
        <v>90</v>
      </c>
      <c r="AM7" s="38" t="s">
        <v>90</v>
      </c>
    </row>
    <row r="8" spans="1:39" ht="16" x14ac:dyDescent="0.2">
      <c r="A8" s="199"/>
      <c r="B8" s="200"/>
      <c r="C8" s="200"/>
      <c r="D8" s="200"/>
      <c r="E8" s="200"/>
      <c r="F8" s="1"/>
      <c r="G8" s="209" t="s">
        <v>52</v>
      </c>
      <c r="I8" s="201" t="s">
        <v>204</v>
      </c>
      <c r="J8" s="11" t="s">
        <v>86</v>
      </c>
      <c r="K8" s="209" t="s">
        <v>52</v>
      </c>
      <c r="M8" s="11" t="s">
        <v>204</v>
      </c>
      <c r="N8" s="11" t="s">
        <v>84</v>
      </c>
      <c r="O8" s="11" t="s">
        <v>86</v>
      </c>
      <c r="P8" s="11" t="s">
        <v>88</v>
      </c>
      <c r="Q8" s="11" t="s">
        <v>88</v>
      </c>
      <c r="R8" s="209" t="s">
        <v>52</v>
      </c>
      <c r="T8" s="201" t="s">
        <v>204</v>
      </c>
      <c r="U8" s="11" t="s">
        <v>84</v>
      </c>
      <c r="V8" s="11" t="s">
        <v>86</v>
      </c>
      <c r="W8" s="11" t="s">
        <v>88</v>
      </c>
      <c r="X8" s="11" t="s">
        <v>88</v>
      </c>
      <c r="Y8" s="209" t="s">
        <v>52</v>
      </c>
      <c r="AA8" s="201" t="s">
        <v>204</v>
      </c>
      <c r="AB8" s="11" t="s">
        <v>84</v>
      </c>
      <c r="AC8" s="11" t="s">
        <v>86</v>
      </c>
      <c r="AD8" s="11" t="s">
        <v>88</v>
      </c>
      <c r="AE8" s="11" t="s">
        <v>88</v>
      </c>
      <c r="AF8" s="209" t="s">
        <v>52</v>
      </c>
      <c r="AH8" s="201" t="s">
        <v>204</v>
      </c>
      <c r="AI8" s="11" t="s">
        <v>84</v>
      </c>
      <c r="AJ8" s="11" t="s">
        <v>86</v>
      </c>
      <c r="AK8" s="11" t="s">
        <v>88</v>
      </c>
      <c r="AL8" s="11" t="s">
        <v>88</v>
      </c>
      <c r="AM8" s="11" t="s">
        <v>88</v>
      </c>
    </row>
    <row r="9" spans="1:39" ht="14.5" customHeight="1" x14ac:dyDescent="0.2">
      <c r="A9" s="580" t="s">
        <v>9</v>
      </c>
      <c r="B9" s="580" t="s">
        <v>709</v>
      </c>
      <c r="C9" s="580" t="s">
        <v>709</v>
      </c>
      <c r="D9" s="580" t="s">
        <v>34</v>
      </c>
      <c r="E9" s="581">
        <f>Assumptions!D61</f>
        <v>183.761</v>
      </c>
      <c r="F9" s="56" t="s">
        <v>292</v>
      </c>
      <c r="G9" s="10">
        <f>'PDB_woody perennials'!K3</f>
        <v>1.6019646306019669E-3</v>
      </c>
      <c r="H9" s="80">
        <f>'PDB_woody perennials'!G3</f>
        <v>44.480570711691286</v>
      </c>
      <c r="I9" s="10">
        <f>'PDB_woody perennials'!J3</f>
        <v>106.85369558433902</v>
      </c>
      <c r="J9" s="10">
        <f>Assumptions!$E$16</f>
        <v>0.5</v>
      </c>
      <c r="K9" s="10">
        <f>'PDB_woody perennials'!K107</f>
        <v>1.6853215730659333E-3</v>
      </c>
      <c r="L9" s="80">
        <f>'PDB_woody perennials'!G107</f>
        <v>44.484574323380393</v>
      </c>
      <c r="M9" s="10">
        <f>'PDB_woody perennials'!J107</f>
        <v>113.32818329537538</v>
      </c>
      <c r="N9" s="10">
        <f t="shared" ref="N9:N40" si="0">M9-I9</f>
        <v>6.4744877110363603</v>
      </c>
      <c r="O9" s="10">
        <f>Assumptions!$E$16</f>
        <v>0.5</v>
      </c>
      <c r="P9" s="10">
        <f t="shared" ref="P9:P72" si="1">K9*N9*O9*44/12</f>
        <v>2.00045886589264E-2</v>
      </c>
      <c r="Q9" s="10">
        <f>P9</f>
        <v>2.00045886589264E-2</v>
      </c>
      <c r="R9" s="10">
        <f>'PDB_woody perennials'!K210</f>
        <v>1.779706213396563E-3</v>
      </c>
      <c r="S9" s="80">
        <f>'PDB_woody perennials'!G210</f>
        <v>45.299973852729522</v>
      </c>
      <c r="T9" s="10">
        <f>'PDB_woody perennials'!J210</f>
        <v>120.37264052431529</v>
      </c>
      <c r="U9" s="10">
        <f t="shared" ref="U9:U40" si="2">T9-M9</f>
        <v>7.0444572289399048</v>
      </c>
      <c r="V9" s="10">
        <f>Assumptions!$E$16</f>
        <v>0.5</v>
      </c>
      <c r="W9" s="10">
        <f t="shared" ref="W9:W72" si="3">R9*U9*V9*44/12</f>
        <v>2.2984617883976252E-2</v>
      </c>
      <c r="X9" s="10">
        <f>W9</f>
        <v>2.2984617883976252E-2</v>
      </c>
      <c r="Y9" s="10">
        <f>'PDB_woody perennials'!K313</f>
        <v>1.8793767650171881E-3</v>
      </c>
      <c r="Z9" s="80">
        <f>'PDB_woody perennials'!G313</f>
        <v>46.130319605630881</v>
      </c>
      <c r="AA9" s="10">
        <f>'PDB_woody perennials'!J313</f>
        <v>127.85497980701579</v>
      </c>
      <c r="AB9" s="10">
        <f t="shared" ref="AB9:AB40" si="4">AA9-T9</f>
        <v>7.482339282700508</v>
      </c>
      <c r="AC9" s="10">
        <f>Assumptions!$E$16</f>
        <v>0.5</v>
      </c>
      <c r="AD9" s="10">
        <f t="shared" ref="AD9:AD72" si="5">Y9*AB9*AC9*44/12</f>
        <v>2.5780580092451631E-2</v>
      </c>
      <c r="AE9" s="10">
        <f>AD9</f>
        <v>2.5780580092451631E-2</v>
      </c>
      <c r="AF9" s="10">
        <f>'PDB_woody perennials'!K416</f>
        <v>1.9846292597616726E-3</v>
      </c>
      <c r="AG9" s="80">
        <f>'PDB_woody perennials'!G416</f>
        <v>46.975885545448961</v>
      </c>
      <c r="AH9" s="10">
        <f>'PDB_woody perennials'!J416</f>
        <v>135.80241980444336</v>
      </c>
      <c r="AI9" s="10">
        <f t="shared" ref="AI9:AI40" si="6">AH9-AA9</f>
        <v>7.9474399974275656</v>
      </c>
      <c r="AJ9" s="10">
        <f>Assumptions!$E$16</f>
        <v>0.5</v>
      </c>
      <c r="AK9" s="10">
        <f t="shared" ref="AK9:AK40" si="7">AF9*AI9*AJ9*44/12</f>
        <v>2.8916656925007458E-2</v>
      </c>
      <c r="AL9" s="10">
        <f>AK9</f>
        <v>2.8916656925007458E-2</v>
      </c>
      <c r="AM9">
        <f>AVERAGE(Q9,X9,AE9,AL9)</f>
        <v>2.4421610890090435E-2</v>
      </c>
    </row>
    <row r="10" spans="1:39" x14ac:dyDescent="0.2">
      <c r="A10" s="516"/>
      <c r="B10" s="516"/>
      <c r="C10" s="516"/>
      <c r="D10" s="516"/>
      <c r="E10" s="518"/>
      <c r="F10" s="56" t="s">
        <v>293</v>
      </c>
      <c r="G10" s="10">
        <f>'PDB_woody perennials'!K4</f>
        <v>1.8139014823589724E-3</v>
      </c>
      <c r="H10" s="80">
        <f>'PDB_woody perennials'!G4</f>
        <v>89.29107648725892</v>
      </c>
      <c r="I10" s="10">
        <f>'PDB_woody perennials'!J4</f>
        <v>110.39820444100474</v>
      </c>
      <c r="J10" s="10">
        <f>Assumptions!$E$16</f>
        <v>0.5</v>
      </c>
      <c r="K10" s="10">
        <f>'PDB_woody perennials'!K108</f>
        <v>1.876218921189454E-3</v>
      </c>
      <c r="L10" s="80">
        <f>'PDB_woody perennials'!G108</f>
        <v>87.798501954040233</v>
      </c>
      <c r="M10" s="10">
        <f>'PDB_woody perennials'!J108</f>
        <v>115.11988539434601</v>
      </c>
      <c r="N10" s="10">
        <f t="shared" si="0"/>
        <v>4.7216809533412771</v>
      </c>
      <c r="O10" s="10">
        <f>Assumptions!$E$16</f>
        <v>0.5</v>
      </c>
      <c r="P10" s="10">
        <f t="shared" si="1"/>
        <v>1.6241329764877733E-2</v>
      </c>
      <c r="Q10" s="10">
        <f t="shared" ref="Q10:Q74" si="8">P10</f>
        <v>1.6241329764877733E-2</v>
      </c>
      <c r="R10" s="10">
        <f>'PDB_woody perennials'!K211</f>
        <v>1.981294564252536E-3</v>
      </c>
      <c r="S10" s="80">
        <f>'PDB_woody perennials'!G211</f>
        <v>89.407843130387207</v>
      </c>
      <c r="T10" s="10">
        <f>'PDB_woody perennials'!J211</f>
        <v>122.27571446774829</v>
      </c>
      <c r="U10" s="10">
        <f t="shared" si="2"/>
        <v>7.1558290734022734</v>
      </c>
      <c r="V10" s="10">
        <f>Assumptions!$E$16</f>
        <v>0.5</v>
      </c>
      <c r="W10" s="10">
        <f t="shared" si="3"/>
        <v>2.5992642950729006E-2</v>
      </c>
      <c r="X10" s="10">
        <f t="shared" ref="X10:X74" si="9">W10</f>
        <v>2.5992642950729006E-2</v>
      </c>
      <c r="Y10" s="10">
        <f>'PDB_woody perennials'!K314</f>
        <v>2.0922548568308896E-3</v>
      </c>
      <c r="Z10" s="80">
        <f>'PDB_woody perennials'!G314</f>
        <v>91.046683432166205</v>
      </c>
      <c r="AA10" s="10">
        <f>'PDB_woody perennials'!J314</f>
        <v>129.87634844650938</v>
      </c>
      <c r="AB10" s="10">
        <f t="shared" si="4"/>
        <v>7.6006339787610955</v>
      </c>
      <c r="AC10" s="10">
        <f>Assumptions!$E$16</f>
        <v>0.5</v>
      </c>
      <c r="AD10" s="10">
        <f t="shared" si="5"/>
        <v>2.9154516154604116E-2</v>
      </c>
      <c r="AE10" s="10">
        <f t="shared" ref="AE10:AE74" si="10">AD10</f>
        <v>2.9154516154604116E-2</v>
      </c>
      <c r="AF10" s="10">
        <f>'PDB_woody perennials'!K417</f>
        <v>2.2094293624552062E-3</v>
      </c>
      <c r="AG10" s="80">
        <f>'PDB_woody perennials'!G417</f>
        <v>92.715563576544</v>
      </c>
      <c r="AH10" s="10">
        <f>'PDB_woody perennials'!J417</f>
        <v>137.94943631466757</v>
      </c>
      <c r="AI10" s="10">
        <f t="shared" si="6"/>
        <v>8.0730878681581828</v>
      </c>
      <c r="AJ10" s="10">
        <f>Assumptions!$E$16</f>
        <v>0.5</v>
      </c>
      <c r="AK10" s="10">
        <f t="shared" si="7"/>
        <v>3.2701015199580921E-2</v>
      </c>
      <c r="AL10" s="10">
        <f t="shared" ref="AL10:AL73" si="11">AK10</f>
        <v>3.2701015199580921E-2</v>
      </c>
      <c r="AM10">
        <f t="shared" ref="AM10:AM73" si="12">AVERAGE(Q10,X10,AE10,AL10)</f>
        <v>2.6022376017447942E-2</v>
      </c>
    </row>
    <row r="11" spans="1:39" x14ac:dyDescent="0.2">
      <c r="A11" s="516"/>
      <c r="B11" s="516"/>
      <c r="C11" s="516"/>
      <c r="D11" s="516"/>
      <c r="E11" s="518"/>
      <c r="F11" s="56" t="s">
        <v>294</v>
      </c>
      <c r="G11" s="10">
        <f>'PDB_woody perennials'!K5</f>
        <v>1.2983813903711469E-2</v>
      </c>
      <c r="H11" s="80">
        <f>'PDB_woody perennials'!G5</f>
        <v>759.86706090657344</v>
      </c>
      <c r="I11" s="10">
        <f>'PDB_woody perennials'!J5</f>
        <v>768.64895407293602</v>
      </c>
      <c r="J11" s="10">
        <f>Assumptions!$E$16</f>
        <v>0.5</v>
      </c>
      <c r="K11" s="10">
        <f>'PDB_woody perennials'!K109</f>
        <v>1.3429878938995879E-2</v>
      </c>
      <c r="L11" s="80">
        <f>'PDB_woody perennials'!G109</f>
        <v>747.1652516288824</v>
      </c>
      <c r="M11" s="10">
        <f>'PDB_woody perennials'!J109</f>
        <v>801.5237199681668</v>
      </c>
      <c r="N11" s="10">
        <f t="shared" si="0"/>
        <v>32.87476589523078</v>
      </c>
      <c r="O11" s="10">
        <f>Assumptions!$E$16</f>
        <v>0.5</v>
      </c>
      <c r="P11" s="10">
        <f t="shared" si="1"/>
        <v>0.80942423122142959</v>
      </c>
      <c r="Q11" s="10">
        <f t="shared" si="8"/>
        <v>0.80942423122142959</v>
      </c>
      <c r="R11" s="10">
        <f>'PDB_woody perennials'!K212</f>
        <v>1.4182005010126066E-2</v>
      </c>
      <c r="S11" s="80">
        <f>'PDB_woody perennials'!G212</f>
        <v>760.86074503959514</v>
      </c>
      <c r="T11" s="10">
        <f>'PDB_woody perennials'!J212</f>
        <v>851.34627424471444</v>
      </c>
      <c r="U11" s="10">
        <f t="shared" si="2"/>
        <v>49.822554276547635</v>
      </c>
      <c r="V11" s="10">
        <f>Assumptions!$E$16</f>
        <v>0.5</v>
      </c>
      <c r="W11" s="10">
        <f t="shared" si="3"/>
        <v>1.2954034763400066</v>
      </c>
      <c r="X11" s="10">
        <f t="shared" si="9"/>
        <v>1.2954034763400066</v>
      </c>
      <c r="Y11" s="10">
        <f>'PDB_woody perennials'!K315</f>
        <v>1.4976253101078123E-2</v>
      </c>
      <c r="Z11" s="80">
        <f>'PDB_woody perennials'!G315</f>
        <v>774.80727600773434</v>
      </c>
      <c r="AA11" s="10">
        <f>'PDB_woody perennials'!J315</f>
        <v>904.2657885397856</v>
      </c>
      <c r="AB11" s="10">
        <f t="shared" si="4"/>
        <v>52.919514295071167</v>
      </c>
      <c r="AC11" s="10">
        <f>Assumptions!$E$16</f>
        <v>0.5</v>
      </c>
      <c r="AD11" s="10">
        <f t="shared" si="5"/>
        <v>1.4529827401266973</v>
      </c>
      <c r="AE11" s="10">
        <f t="shared" si="10"/>
        <v>1.4529827401266973</v>
      </c>
      <c r="AF11" s="10">
        <f>'PDB_woody perennials'!K418</f>
        <v>1.5814982210724682E-2</v>
      </c>
      <c r="AG11" s="80">
        <f>'PDB_woody perennials'!G418</f>
        <v>789.00944603638936</v>
      </c>
      <c r="AH11" s="10">
        <f>'PDB_woody perennials'!J418</f>
        <v>960.47476926931154</v>
      </c>
      <c r="AI11" s="10">
        <f t="shared" si="6"/>
        <v>56.208980729525933</v>
      </c>
      <c r="AJ11" s="10">
        <f>Assumptions!$E$16</f>
        <v>0.5</v>
      </c>
      <c r="AK11" s="10">
        <f t="shared" si="7"/>
        <v>1.6297307222541015</v>
      </c>
      <c r="AL11" s="10">
        <f t="shared" si="11"/>
        <v>1.6297307222541015</v>
      </c>
      <c r="AM11">
        <f t="shared" si="12"/>
        <v>1.2968852924855587</v>
      </c>
    </row>
    <row r="12" spans="1:39" x14ac:dyDescent="0.2">
      <c r="A12" s="516"/>
      <c r="B12" s="516"/>
      <c r="C12" s="516"/>
      <c r="D12" s="516"/>
      <c r="E12" s="518"/>
      <c r="F12" s="56" t="s">
        <v>295</v>
      </c>
      <c r="G12" s="10">
        <f>'PDB_woody perennials'!K6</f>
        <v>6.877149373793124E-3</v>
      </c>
      <c r="H12" s="80">
        <f>'PDB_woody perennials'!G6</f>
        <v>178.87978989614211</v>
      </c>
      <c r="I12" s="10">
        <f>'PDB_woody perennials'!J6</f>
        <v>463.53594661787133</v>
      </c>
      <c r="J12" s="10">
        <f>Assumptions!$E$16</f>
        <v>0.5</v>
      </c>
      <c r="K12" s="10">
        <f>'PDB_woody perennials'!K110</f>
        <v>7.1134170760897729E-3</v>
      </c>
      <c r="L12" s="80">
        <f>'PDB_woody perennials'!G110</f>
        <v>175.88966558126069</v>
      </c>
      <c r="M12" s="10">
        <f>'PDB_woody perennials'!J110</f>
        <v>483.3611680643325</v>
      </c>
      <c r="N12" s="10">
        <f t="shared" si="0"/>
        <v>19.825221446461171</v>
      </c>
      <c r="O12" s="10">
        <f>Assumptions!$E$16</f>
        <v>0.5</v>
      </c>
      <c r="P12" s="10">
        <f t="shared" si="1"/>
        <v>0.25854595941994984</v>
      </c>
      <c r="Q12" s="10">
        <f t="shared" si="8"/>
        <v>0.25854595941994984</v>
      </c>
      <c r="R12" s="10">
        <f>'PDB_woody perennials'!K213</f>
        <v>7.5117964257512661E-3</v>
      </c>
      <c r="S12" s="80">
        <f>'PDB_woody perennials'!G213</f>
        <v>179.11371240454244</v>
      </c>
      <c r="T12" s="10">
        <f>'PDB_woody perennials'!J213</f>
        <v>513.40680168827305</v>
      </c>
      <c r="U12" s="10">
        <f t="shared" si="2"/>
        <v>30.045633623940546</v>
      </c>
      <c r="V12" s="10">
        <f>Assumptions!$E$16</f>
        <v>0.5</v>
      </c>
      <c r="W12" s="10">
        <f t="shared" si="3"/>
        <v>0.41377725265387255</v>
      </c>
      <c r="X12" s="10">
        <f t="shared" si="9"/>
        <v>0.41377725265387255</v>
      </c>
      <c r="Y12" s="10">
        <f>'PDB_woody perennials'!K316</f>
        <v>7.932486586734391E-3</v>
      </c>
      <c r="Z12" s="80">
        <f>'PDB_woody perennials'!G316</f>
        <v>182.39685580910634</v>
      </c>
      <c r="AA12" s="10">
        <f>'PDB_woody perennials'!J316</f>
        <v>545.32006589470052</v>
      </c>
      <c r="AB12" s="10">
        <f t="shared" si="4"/>
        <v>31.913264206427471</v>
      </c>
      <c r="AC12" s="10">
        <f>Assumptions!$E$16</f>
        <v>0.5</v>
      </c>
      <c r="AD12" s="10">
        <f t="shared" si="5"/>
        <v>0.46411115713672713</v>
      </c>
      <c r="AE12" s="10">
        <f t="shared" si="10"/>
        <v>0.46411115713672713</v>
      </c>
      <c r="AF12" s="10">
        <f>'PDB_woody perennials'!K419</f>
        <v>8.3767370522728028E-3</v>
      </c>
      <c r="AG12" s="80">
        <f>'PDB_woody perennials'!G419</f>
        <v>185.74017903167652</v>
      </c>
      <c r="AH12" s="10">
        <f>'PDB_woody perennials'!J419</f>
        <v>579.21705222744231</v>
      </c>
      <c r="AI12" s="10">
        <f t="shared" si="6"/>
        <v>33.89698633274179</v>
      </c>
      <c r="AJ12" s="10">
        <f>Assumptions!$E$16</f>
        <v>0.5</v>
      </c>
      <c r="AK12" s="10">
        <f t="shared" si="7"/>
        <v>0.520567925852082</v>
      </c>
      <c r="AL12" s="10">
        <f t="shared" si="11"/>
        <v>0.520567925852082</v>
      </c>
      <c r="AM12">
        <f t="shared" si="12"/>
        <v>0.41425057376565788</v>
      </c>
    </row>
    <row r="13" spans="1:39" x14ac:dyDescent="0.2">
      <c r="A13" s="516"/>
      <c r="B13" s="516"/>
      <c r="C13" s="516"/>
      <c r="D13" s="516"/>
      <c r="E13" s="518"/>
      <c r="F13" s="56" t="s">
        <v>296</v>
      </c>
      <c r="G13" s="10">
        <f>'PDB_woody perennials'!K7</f>
        <v>3.6002852138332809E-3</v>
      </c>
      <c r="H13" s="80">
        <f>'PDB_woody perennials'!G7</f>
        <v>89.29107648725892</v>
      </c>
      <c r="I13" s="10">
        <f>'PDB_woody perennials'!J7</f>
        <v>244.52368657262221</v>
      </c>
      <c r="J13" s="10">
        <f>Assumptions!$E$16</f>
        <v>0.5</v>
      </c>
      <c r="K13" s="10">
        <f>'PDB_woody perennials'!K111</f>
        <v>3.7239747062160554E-3</v>
      </c>
      <c r="L13" s="80">
        <f>'PDB_woody perennials'!G111</f>
        <v>87.798501954040233</v>
      </c>
      <c r="M13" s="10">
        <f>'PDB_woody perennials'!J111</f>
        <v>254.98185334604719</v>
      </c>
      <c r="N13" s="10">
        <f t="shared" si="0"/>
        <v>10.458166773424978</v>
      </c>
      <c r="O13" s="10">
        <f>Assumptions!$E$16</f>
        <v>0.5</v>
      </c>
      <c r="P13" s="10">
        <f t="shared" si="1"/>
        <v>7.140090565231029E-2</v>
      </c>
      <c r="Q13" s="10">
        <f t="shared" si="8"/>
        <v>7.140090565231029E-2</v>
      </c>
      <c r="R13" s="10">
        <f>'PDB_woody perennials'!K214</f>
        <v>3.932531944706239E-3</v>
      </c>
      <c r="S13" s="80">
        <f>'PDB_woody perennials'!G214</f>
        <v>89.407843130387207</v>
      </c>
      <c r="T13" s="10">
        <f>'PDB_woody perennials'!J214</f>
        <v>270.83147440077113</v>
      </c>
      <c r="U13" s="10">
        <f t="shared" si="2"/>
        <v>15.84962105472394</v>
      </c>
      <c r="V13" s="10">
        <f>Assumptions!$E$16</f>
        <v>0.5</v>
      </c>
      <c r="W13" s="10">
        <f t="shared" si="3"/>
        <v>0.1142700920335159</v>
      </c>
      <c r="X13" s="10">
        <f t="shared" si="9"/>
        <v>0.1142700920335159</v>
      </c>
      <c r="Y13" s="10">
        <f>'PDB_woody perennials'!K317</f>
        <v>4.1527692092863016E-3</v>
      </c>
      <c r="Z13" s="80">
        <f>'PDB_woody perennials'!G317</f>
        <v>91.046683432166205</v>
      </c>
      <c r="AA13" s="10">
        <f>'PDB_woody perennials'!J317</f>
        <v>287.66630473326063</v>
      </c>
      <c r="AB13" s="10">
        <f t="shared" si="4"/>
        <v>16.834830332489503</v>
      </c>
      <c r="AC13" s="10">
        <f>Assumptions!$E$16</f>
        <v>0.5</v>
      </c>
      <c r="AD13" s="10">
        <f t="shared" si="5"/>
        <v>0.12817046925525605</v>
      </c>
      <c r="AE13" s="10">
        <f t="shared" si="10"/>
        <v>0.12817046925525605</v>
      </c>
      <c r="AF13" s="10">
        <f>'PDB_woody perennials'!K420</f>
        <v>4.3853406273816342E-3</v>
      </c>
      <c r="AG13" s="80">
        <f>'PDB_woody perennials'!G420</f>
        <v>92.715563576544</v>
      </c>
      <c r="AH13" s="10">
        <f>'PDB_woody perennials'!J420</f>
        <v>305.54758475536153</v>
      </c>
      <c r="AI13" s="10">
        <f t="shared" si="6"/>
        <v>17.881280022100896</v>
      </c>
      <c r="AJ13" s="10">
        <f>Assumptions!$E$16</f>
        <v>0.5</v>
      </c>
      <c r="AK13" s="10">
        <f t="shared" si="7"/>
        <v>0.14376175687592882</v>
      </c>
      <c r="AL13" s="10">
        <f t="shared" si="11"/>
        <v>0.14376175687592882</v>
      </c>
      <c r="AM13">
        <f t="shared" si="12"/>
        <v>0.11440080595425275</v>
      </c>
    </row>
    <row r="14" spans="1:39" x14ac:dyDescent="0.2">
      <c r="A14" s="516"/>
      <c r="B14" s="516"/>
      <c r="C14" s="516"/>
      <c r="D14" s="516"/>
      <c r="E14" s="518"/>
      <c r="F14" s="56" t="s">
        <v>297</v>
      </c>
      <c r="G14" s="10">
        <f>'PDB_woody perennials'!K8</f>
        <v>1.2593577129951883E-3</v>
      </c>
      <c r="H14" s="80">
        <f>'PDB_woody perennials'!G8</f>
        <v>44.347901322005271</v>
      </c>
      <c r="I14" s="10">
        <f>'PDB_woody perennials'!J8</f>
        <v>80.86725176748449</v>
      </c>
      <c r="J14" s="10">
        <f>Assumptions!$E$16</f>
        <v>0.5</v>
      </c>
      <c r="K14" s="10">
        <f>'PDB_woody perennials'!K112</f>
        <v>1.3026235397275256E-3</v>
      </c>
      <c r="L14" s="80">
        <f>'PDB_woody perennials'!G112</f>
        <v>43.606589303839989</v>
      </c>
      <c r="M14" s="10">
        <f>'PDB_woody perennials'!J112</f>
        <v>84.325907316756698</v>
      </c>
      <c r="N14" s="10">
        <f t="shared" si="0"/>
        <v>3.4586555492722084</v>
      </c>
      <c r="O14" s="10">
        <f>Assumptions!$E$16</f>
        <v>0.5</v>
      </c>
      <c r="P14" s="10">
        <f t="shared" si="1"/>
        <v>8.2597645795338907E-3</v>
      </c>
      <c r="Q14" s="10">
        <f t="shared" si="8"/>
        <v>8.2597645795338907E-3</v>
      </c>
      <c r="R14" s="10">
        <f>'PDB_woody perennials'!K215</f>
        <v>1.3755755841612343E-3</v>
      </c>
      <c r="S14" s="80">
        <f>'PDB_woody perennials'!G215</f>
        <v>44.405895421425654</v>
      </c>
      <c r="T14" s="10">
        <f>'PDB_woody perennials'!J215</f>
        <v>89.567588865962875</v>
      </c>
      <c r="U14" s="10">
        <f t="shared" si="2"/>
        <v>5.2416815492061772</v>
      </c>
      <c r="V14" s="10">
        <f>Assumptions!$E$16</f>
        <v>0.5</v>
      </c>
      <c r="W14" s="10">
        <f t="shared" si="3"/>
        <v>1.3218936791566827E-2</v>
      </c>
      <c r="X14" s="10">
        <f t="shared" si="9"/>
        <v>1.3218936791566827E-2</v>
      </c>
      <c r="Y14" s="10">
        <f>'PDB_woody perennials'!K318</f>
        <v>1.4526132301711059E-3</v>
      </c>
      <c r="Z14" s="80">
        <f>'PDB_woody perennials'!G318</f>
        <v>45.21985277130922</v>
      </c>
      <c r="AA14" s="10">
        <f>'PDB_woody perennials'!J318</f>
        <v>95.135092292899728</v>
      </c>
      <c r="AB14" s="10">
        <f t="shared" si="4"/>
        <v>5.5675034269368524</v>
      </c>
      <c r="AC14" s="10">
        <f>Assumptions!$E$16</f>
        <v>0.5</v>
      </c>
      <c r="AD14" s="10">
        <f t="shared" si="5"/>
        <v>1.4826953417817645E-2</v>
      </c>
      <c r="AE14" s="10">
        <f t="shared" si="10"/>
        <v>1.4826953417817645E-2</v>
      </c>
      <c r="AF14" s="10">
        <f>'PDB_woody perennials'!K421</f>
        <v>1.5339652875234566E-3</v>
      </c>
      <c r="AG14" s="80">
        <f>'PDB_woody perennials'!G421</f>
        <v>46.048729909683523</v>
      </c>
      <c r="AH14" s="10">
        <f>'PDB_woody perennials'!J421</f>
        <v>101.04867062038282</v>
      </c>
      <c r="AI14" s="10">
        <f t="shared" si="6"/>
        <v>5.9135783274830942</v>
      </c>
      <c r="AJ14" s="10">
        <f>Assumptions!$E$16</f>
        <v>0.5</v>
      </c>
      <c r="AK14" s="10">
        <f t="shared" si="7"/>
        <v>1.6630577112251823E-2</v>
      </c>
      <c r="AL14" s="10">
        <f t="shared" si="11"/>
        <v>1.6630577112251823E-2</v>
      </c>
      <c r="AM14">
        <f t="shared" si="12"/>
        <v>1.3234057975292545E-2</v>
      </c>
    </row>
    <row r="15" spans="1:39" x14ac:dyDescent="0.2">
      <c r="A15" s="516"/>
      <c r="B15" s="516"/>
      <c r="C15" s="516"/>
      <c r="D15" s="516"/>
      <c r="E15" s="518"/>
      <c r="F15" s="56" t="s">
        <v>298</v>
      </c>
      <c r="G15" s="10">
        <f>'PDB_woody perennials'!K9</f>
        <v>1.9155012265709528E-3</v>
      </c>
      <c r="H15" s="80">
        <f>'PDB_woody perennials'!G9</f>
        <v>89.29107648725892</v>
      </c>
      <c r="I15" s="10">
        <f>'PDB_woody perennials'!J9</f>
        <v>117.60282297516939</v>
      </c>
      <c r="J15" s="10">
        <f>Assumptions!$E$16</f>
        <v>0.5</v>
      </c>
      <c r="K15" s="10">
        <f>'PDB_woody perennials'!K113</f>
        <v>1.9813091724144665E-3</v>
      </c>
      <c r="L15" s="80">
        <f>'PDB_woody perennials'!G113</f>
        <v>87.798501954040233</v>
      </c>
      <c r="M15" s="10">
        <f>'PDB_woody perennials'!J113</f>
        <v>122.63264218384823</v>
      </c>
      <c r="N15" s="10">
        <f t="shared" si="0"/>
        <v>5.0298192086788447</v>
      </c>
      <c r="O15" s="10">
        <f>Assumptions!$E$16</f>
        <v>0.5</v>
      </c>
      <c r="P15" s="10">
        <f t="shared" si="1"/>
        <v>1.8270316045193424E-2</v>
      </c>
      <c r="Q15" s="10">
        <f t="shared" si="8"/>
        <v>1.8270316045193424E-2</v>
      </c>
      <c r="R15" s="10">
        <f>'PDB_woody perennials'!K216</f>
        <v>2.0922702831073759E-3</v>
      </c>
      <c r="S15" s="80">
        <f>'PDB_woody perennials'!G216</f>
        <v>89.407843130387207</v>
      </c>
      <c r="T15" s="10">
        <f>'PDB_woody perennials'!J216</f>
        <v>130.25546271812252</v>
      </c>
      <c r="U15" s="10">
        <f t="shared" si="2"/>
        <v>7.6228205342742825</v>
      </c>
      <c r="V15" s="10">
        <f>Assumptions!$E$16</f>
        <v>0.5</v>
      </c>
      <c r="W15" s="10">
        <f t="shared" si="3"/>
        <v>2.9239834941758414E-2</v>
      </c>
      <c r="X15" s="10">
        <f t="shared" si="9"/>
        <v>2.9239834941758414E-2</v>
      </c>
      <c r="Y15" s="10">
        <f>'PDB_woody perennials'!K319</f>
        <v>2.2094456526638826E-3</v>
      </c>
      <c r="Z15" s="80">
        <f>'PDB_woody perennials'!G319</f>
        <v>91.046683432166205</v>
      </c>
      <c r="AA15" s="10">
        <f>'PDB_woody perennials'!J319</f>
        <v>138.35211625365139</v>
      </c>
      <c r="AB15" s="10">
        <f t="shared" si="4"/>
        <v>8.0966535355288727</v>
      </c>
      <c r="AC15" s="10">
        <f>Assumptions!$E$16</f>
        <v>0.5</v>
      </c>
      <c r="AD15" s="10">
        <f t="shared" si="5"/>
        <v>3.2796712584533191E-2</v>
      </c>
      <c r="AE15" s="10">
        <f t="shared" si="10"/>
        <v>3.2796712584533191E-2</v>
      </c>
      <c r="AF15" s="10">
        <f>'PDB_woody perennials'!K422</f>
        <v>2.3331833040352956E-3</v>
      </c>
      <c r="AG15" s="80">
        <f>'PDB_woody perennials'!G422</f>
        <v>92.715563576544</v>
      </c>
      <c r="AH15" s="10">
        <f>'PDB_woody perennials'!J422</f>
        <v>146.95205615511372</v>
      </c>
      <c r="AI15" s="10">
        <f t="shared" si="6"/>
        <v>8.599939901462335</v>
      </c>
      <c r="AJ15" s="10">
        <f>Assumptions!$E$16</f>
        <v>0.5</v>
      </c>
      <c r="AK15" s="10">
        <f t="shared" si="7"/>
        <v>3.6786266355297921E-2</v>
      </c>
      <c r="AL15" s="10">
        <f t="shared" si="11"/>
        <v>3.6786266355297921E-2</v>
      </c>
      <c r="AM15">
        <f t="shared" si="12"/>
        <v>2.9273282481695737E-2</v>
      </c>
    </row>
    <row r="16" spans="1:39" x14ac:dyDescent="0.2">
      <c r="A16" s="516"/>
      <c r="B16" s="516"/>
      <c r="C16" s="516"/>
      <c r="D16" s="516"/>
      <c r="E16" s="518"/>
      <c r="F16" s="56" t="s">
        <v>299</v>
      </c>
      <c r="G16" s="10">
        <f>'PDB_woody perennials'!K10</f>
        <v>8.1490026556927081E-4</v>
      </c>
      <c r="H16" s="80">
        <f>'PDB_woody perennials'!G10</f>
        <v>44.943175165253663</v>
      </c>
      <c r="I16" s="10">
        <f>'PDB_woody perennials'!J10</f>
        <v>48.702850991627905</v>
      </c>
      <c r="J16" s="10">
        <f>Assumptions!$E$16</f>
        <v>0.5</v>
      </c>
      <c r="K16" s="10">
        <f>'PDB_woody perennials'!K114</f>
        <v>8.428965475870318E-4</v>
      </c>
      <c r="L16" s="80">
        <f>'PDB_woody perennials'!G114</f>
        <v>44.191912650200258</v>
      </c>
      <c r="M16" s="10">
        <f>'PDB_woody perennials'!J114</f>
        <v>50.785849760176482</v>
      </c>
      <c r="N16" s="10">
        <f t="shared" si="0"/>
        <v>2.0829987685485776</v>
      </c>
      <c r="O16" s="10">
        <f>Assumptions!$E$16</f>
        <v>0.5</v>
      </c>
      <c r="P16" s="10">
        <f t="shared" si="1"/>
        <v>3.2188795295023304E-3</v>
      </c>
      <c r="Q16" s="10">
        <f t="shared" si="8"/>
        <v>3.2188795295023304E-3</v>
      </c>
      <c r="R16" s="10">
        <f>'PDB_woody perennials'!K217</f>
        <v>8.9010207129916355E-4</v>
      </c>
      <c r="S16" s="80">
        <f>'PDB_woody perennials'!G217</f>
        <v>45.001947708961566</v>
      </c>
      <c r="T16" s="10">
        <f>'PDB_woody perennials'!J217</f>
        <v>53.942688033481076</v>
      </c>
      <c r="U16" s="10">
        <f t="shared" si="2"/>
        <v>3.1568382733045937</v>
      </c>
      <c r="V16" s="10">
        <f>Assumptions!$E$16</f>
        <v>0.5</v>
      </c>
      <c r="W16" s="10">
        <f t="shared" si="3"/>
        <v>5.1514985240123058E-3</v>
      </c>
      <c r="X16" s="10">
        <f t="shared" si="9"/>
        <v>5.1514985240123058E-3</v>
      </c>
      <c r="Y16" s="10">
        <f>'PDB_woody perennials'!K320</f>
        <v>9.399512901068749E-4</v>
      </c>
      <c r="Z16" s="80">
        <f>'PDB_woody perennials'!G320</f>
        <v>45.826830660856992</v>
      </c>
      <c r="AA16" s="10">
        <f>'PDB_woody perennials'!J320</f>
        <v>57.295754743069828</v>
      </c>
      <c r="AB16" s="10">
        <f t="shared" si="4"/>
        <v>3.3530667095887523</v>
      </c>
      <c r="AC16" s="10">
        <f>Assumptions!$E$16</f>
        <v>0.5</v>
      </c>
      <c r="AD16" s="10">
        <f t="shared" si="5"/>
        <v>5.7781521957359959E-3</v>
      </c>
      <c r="AE16" s="10">
        <f t="shared" si="10"/>
        <v>5.7781521957359959E-3</v>
      </c>
      <c r="AF16" s="10">
        <f>'PDB_woody perennials'!K423</f>
        <v>9.9259226133924022E-4</v>
      </c>
      <c r="AG16" s="80">
        <f>'PDB_woody perennials'!G423</f>
        <v>46.666833666860484</v>
      </c>
      <c r="AH16" s="10">
        <f>'PDB_woody perennials'!J423</f>
        <v>60.857247409332693</v>
      </c>
      <c r="AI16" s="10">
        <f t="shared" si="6"/>
        <v>3.5614926662628648</v>
      </c>
      <c r="AJ16" s="10">
        <f>Assumptions!$E$16</f>
        <v>0.5</v>
      </c>
      <c r="AK16" s="10">
        <f t="shared" si="7"/>
        <v>6.4810351088064573E-3</v>
      </c>
      <c r="AL16" s="10">
        <f t="shared" si="11"/>
        <v>6.4810351088064573E-3</v>
      </c>
      <c r="AM16">
        <f t="shared" si="12"/>
        <v>5.1573913395142725E-3</v>
      </c>
    </row>
    <row r="17" spans="1:39" x14ac:dyDescent="0.2">
      <c r="A17" s="516"/>
      <c r="B17" s="516"/>
      <c r="C17" s="516"/>
      <c r="D17" s="516"/>
      <c r="E17" s="518"/>
      <c r="F17" s="56" t="s">
        <v>300</v>
      </c>
      <c r="G17" s="10">
        <f>'PDB_woody perennials'!K11</f>
        <v>1.1623374134574262E-2</v>
      </c>
      <c r="H17" s="80">
        <f>'PDB_woody perennials'!G11</f>
        <v>536.04409584517782</v>
      </c>
      <c r="I17" s="10">
        <f>'PDB_woody perennials'!J11</f>
        <v>714.84634583904221</v>
      </c>
      <c r="J17" s="10">
        <f>Assumptions!$E$16</f>
        <v>0.5</v>
      </c>
      <c r="K17" s="10">
        <f>'PDB_woody perennials'!K115</f>
        <v>1.202270062153051E-2</v>
      </c>
      <c r="L17" s="80">
        <f>'PDB_woody perennials'!G115</f>
        <v>527.08367339742165</v>
      </c>
      <c r="M17" s="10">
        <f>'PDB_woody perennials'!J115</f>
        <v>745.41999866975937</v>
      </c>
      <c r="N17" s="10">
        <f t="shared" si="0"/>
        <v>30.573652830717151</v>
      </c>
      <c r="O17" s="10">
        <f>Assumptions!$E$16</f>
        <v>0.5</v>
      </c>
      <c r="P17" s="10">
        <f t="shared" si="1"/>
        <v>0.67389277063225539</v>
      </c>
      <c r="Q17" s="10">
        <f t="shared" si="8"/>
        <v>0.67389277063225539</v>
      </c>
      <c r="R17" s="10">
        <f>'PDB_woody perennials'!K218</f>
        <v>1.2696019169219686E-2</v>
      </c>
      <c r="S17" s="80">
        <f>'PDB_woody perennials'!G218</f>
        <v>536.74508492609129</v>
      </c>
      <c r="T17" s="10">
        <f>'PDB_woody perennials'!J218</f>
        <v>791.75515684077789</v>
      </c>
      <c r="U17" s="10">
        <f t="shared" si="2"/>
        <v>46.33515817101852</v>
      </c>
      <c r="V17" s="10">
        <f>Assumptions!$E$16</f>
        <v>0.5</v>
      </c>
      <c r="W17" s="10">
        <f t="shared" si="3"/>
        <v>1.078498769971475</v>
      </c>
      <c r="X17" s="10">
        <f t="shared" si="9"/>
        <v>1.078498769971475</v>
      </c>
      <c r="Y17" s="10">
        <f>'PDB_woody perennials'!K321</f>
        <v>1.3407046205287121E-2</v>
      </c>
      <c r="Z17" s="80">
        <f>'PDB_woody perennials'!G321</f>
        <v>546.58358953777122</v>
      </c>
      <c r="AA17" s="10">
        <f>'PDB_woody perennials'!J321</f>
        <v>840.9704991852351</v>
      </c>
      <c r="AB17" s="10">
        <f t="shared" si="4"/>
        <v>49.215342344457213</v>
      </c>
      <c r="AC17" s="10">
        <f>Assumptions!$E$16</f>
        <v>0.5</v>
      </c>
      <c r="AD17" s="10">
        <f t="shared" si="5"/>
        <v>1.2096926761721298</v>
      </c>
      <c r="AE17" s="10">
        <f t="shared" si="10"/>
        <v>1.2096926761721298</v>
      </c>
      <c r="AF17" s="10">
        <f>'PDB_woody perennials'!K424</f>
        <v>1.4157893553476051E-2</v>
      </c>
      <c r="AG17" s="80">
        <f>'PDB_woody perennials'!G424</f>
        <v>556.60243333785252</v>
      </c>
      <c r="AH17" s="10">
        <f>'PDB_woody perennials'!J424</f>
        <v>893.24505737584707</v>
      </c>
      <c r="AI17" s="10">
        <f t="shared" si="6"/>
        <v>52.27455819061197</v>
      </c>
      <c r="AJ17" s="10">
        <f>Assumptions!$E$16</f>
        <v>0.5</v>
      </c>
      <c r="AK17" s="10">
        <f t="shared" si="7"/>
        <v>1.3568456557657356</v>
      </c>
      <c r="AL17" s="10">
        <f t="shared" si="11"/>
        <v>1.3568456557657356</v>
      </c>
      <c r="AM17">
        <f t="shared" si="12"/>
        <v>1.079732468135399</v>
      </c>
    </row>
    <row r="18" spans="1:39" x14ac:dyDescent="0.2">
      <c r="A18" s="516"/>
      <c r="B18" s="516"/>
      <c r="C18" s="516"/>
      <c r="D18" s="516"/>
      <c r="E18" s="518"/>
      <c r="F18" s="56" t="s">
        <v>301</v>
      </c>
      <c r="G18" s="10">
        <f>'PDB_woody perennials'!K12</f>
        <v>7.2714283593560275E-3</v>
      </c>
      <c r="H18" s="80">
        <f>'PDB_woody perennials'!G12</f>
        <v>88.993439565634731</v>
      </c>
      <c r="I18" s="10">
        <f>'PDB_woody perennials'!J12</f>
        <v>552.94383450930582</v>
      </c>
      <c r="J18" s="10">
        <f>Assumptions!$E$16</f>
        <v>0.5</v>
      </c>
      <c r="K18" s="10">
        <f>'PDB_woody perennials'!K116</f>
        <v>7.5212417017019974E-3</v>
      </c>
      <c r="L18" s="80">
        <f>'PDB_woody perennials'!G116</f>
        <v>87.505840280860113</v>
      </c>
      <c r="M18" s="10">
        <f>'PDB_woody perennials'!J116</f>
        <v>576.59299062456807</v>
      </c>
      <c r="N18" s="10">
        <f t="shared" si="0"/>
        <v>23.649156115262258</v>
      </c>
      <c r="O18" s="10">
        <f>Assumptions!$E$16</f>
        <v>0.5</v>
      </c>
      <c r="P18" s="10">
        <f t="shared" si="1"/>
        <v>0.32609686850431407</v>
      </c>
      <c r="Q18" s="10">
        <f t="shared" si="8"/>
        <v>0.32609686850431407</v>
      </c>
      <c r="R18" s="10">
        <f>'PDB_woody perennials'!K219</f>
        <v>7.9424608353083192E-3</v>
      </c>
      <c r="S18" s="80">
        <f>'PDB_woody perennials'!G219</f>
        <v>89.109816986619265</v>
      </c>
      <c r="T18" s="10">
        <f>'PDB_woody perennials'!J219</f>
        <v>612.43389570971181</v>
      </c>
      <c r="U18" s="10">
        <f t="shared" si="2"/>
        <v>35.840905085143731</v>
      </c>
      <c r="V18" s="10">
        <f>Assumptions!$E$16</f>
        <v>0.5</v>
      </c>
      <c r="W18" s="10">
        <f t="shared" si="3"/>
        <v>0.52188580572472099</v>
      </c>
      <c r="X18" s="10">
        <f t="shared" si="9"/>
        <v>0.52188580572472099</v>
      </c>
      <c r="Y18" s="10">
        <f>'PDB_woody perennials'!K322</f>
        <v>8.3872698980184887E-3</v>
      </c>
      <c r="Z18" s="80">
        <f>'PDB_woody perennials'!G322</f>
        <v>90.74319448739233</v>
      </c>
      <c r="AA18" s="10">
        <f>'PDB_woody perennials'!J322</f>
        <v>650.50266429338706</v>
      </c>
      <c r="AB18" s="10">
        <f t="shared" si="4"/>
        <v>38.068768583675251</v>
      </c>
      <c r="AC18" s="10">
        <f>Assumptions!$E$16</f>
        <v>0.5</v>
      </c>
      <c r="AD18" s="10">
        <f t="shared" si="5"/>
        <v>0.58537056746023419</v>
      </c>
      <c r="AE18" s="10">
        <f t="shared" si="10"/>
        <v>0.58537056746023419</v>
      </c>
      <c r="AF18" s="10">
        <f>'PDB_woody perennials'!K425</f>
        <v>8.8569900186956704E-3</v>
      </c>
      <c r="AG18" s="80">
        <f>'PDB_woody perennials'!G425</f>
        <v>92.406511697955523</v>
      </c>
      <c r="AH18" s="10">
        <f>'PDB_woody perennials'!J425</f>
        <v>690.93777992550247</v>
      </c>
      <c r="AI18" s="10">
        <f t="shared" si="6"/>
        <v>40.435115632115412</v>
      </c>
      <c r="AJ18" s="10">
        <f>Assumptions!$E$16</f>
        <v>0.5</v>
      </c>
      <c r="AK18" s="10">
        <f t="shared" si="7"/>
        <v>0.65657792852382768</v>
      </c>
      <c r="AL18" s="10">
        <f t="shared" si="11"/>
        <v>0.65657792852382768</v>
      </c>
      <c r="AM18">
        <f t="shared" si="12"/>
        <v>0.52248279255327423</v>
      </c>
    </row>
    <row r="19" spans="1:39" x14ac:dyDescent="0.2">
      <c r="A19" s="516"/>
      <c r="B19" s="516"/>
      <c r="C19" s="516"/>
      <c r="D19" s="516"/>
      <c r="E19" s="518"/>
      <c r="F19" s="56" t="s">
        <v>302</v>
      </c>
      <c r="G19" s="10">
        <f>'PDB_woody perennials'!K13</f>
        <v>2.8009489955467363E-2</v>
      </c>
      <c r="H19" s="80">
        <f>'PDB_woody perennials'!G13</f>
        <v>312.81640462703041</v>
      </c>
      <c r="I19" s="10">
        <f>'PDB_woody perennials'!J13</f>
        <v>2161.3600592440985</v>
      </c>
      <c r="J19" s="10">
        <f>Assumptions!$E$16</f>
        <v>0.5</v>
      </c>
      <c r="K19" s="10">
        <f>'PDB_woody perennials'!K117</f>
        <v>2.897176916078718E-2</v>
      </c>
      <c r="L19" s="80">
        <f>'PDB_woody perennials'!G117</f>
        <v>307.58741851232094</v>
      </c>
      <c r="M19" s="10">
        <f>'PDB_woody perennials'!J117</f>
        <v>2253.8004451789934</v>
      </c>
      <c r="N19" s="10">
        <f t="shared" si="0"/>
        <v>92.440385934894948</v>
      </c>
      <c r="O19" s="10">
        <f>Assumptions!$E$16</f>
        <v>0.5</v>
      </c>
      <c r="P19" s="10">
        <f t="shared" si="1"/>
        <v>4.9099627911397326</v>
      </c>
      <c r="Q19" s="10">
        <f t="shared" si="8"/>
        <v>4.9099627911397326</v>
      </c>
      <c r="R19" s="10">
        <f>'PDB_woody perennials'!K220</f>
        <v>3.0594302246273263E-2</v>
      </c>
      <c r="S19" s="80">
        <f>'PDB_woody perennials'!G220</f>
        <v>313.22547710012316</v>
      </c>
      <c r="T19" s="10">
        <f>'PDB_woody perennials'!J220</f>
        <v>2393.8962305075888</v>
      </c>
      <c r="U19" s="10">
        <f t="shared" si="2"/>
        <v>140.09578532859541</v>
      </c>
      <c r="V19" s="10">
        <f>Assumptions!$E$16</f>
        <v>0.5</v>
      </c>
      <c r="W19" s="10">
        <f t="shared" si="3"/>
        <v>7.8579101329154488</v>
      </c>
      <c r="X19" s="10">
        <f t="shared" si="9"/>
        <v>7.8579101329154488</v>
      </c>
      <c r="Y19" s="10">
        <f>'PDB_woody perennials'!K323</f>
        <v>3.2307703569694229E-2</v>
      </c>
      <c r="Z19" s="80">
        <f>'PDB_woody perennials'!G323</f>
        <v>318.96688095735556</v>
      </c>
      <c r="AA19" s="10">
        <f>'PDB_woody perennials'!J323</f>
        <v>2542.7003418589338</v>
      </c>
      <c r="AB19" s="10">
        <f t="shared" si="4"/>
        <v>148.804111351345</v>
      </c>
      <c r="AC19" s="10">
        <f>Assumptions!$E$16</f>
        <v>0.5</v>
      </c>
      <c r="AD19" s="10">
        <f t="shared" si="5"/>
        <v>8.813785052400215</v>
      </c>
      <c r="AE19" s="10">
        <f t="shared" si="10"/>
        <v>8.813785052400215</v>
      </c>
      <c r="AF19" s="10">
        <f>'PDB_woody perennials'!K426</f>
        <v>3.411706210996783E-2</v>
      </c>
      <c r="AG19" s="80">
        <f>'PDB_woody perennials'!G426</f>
        <v>324.81352439649243</v>
      </c>
      <c r="AH19" s="10">
        <f>'PDB_woody perennials'!J426</f>
        <v>2700.7540870385405</v>
      </c>
      <c r="AI19" s="10">
        <f t="shared" si="6"/>
        <v>158.05374517960672</v>
      </c>
      <c r="AJ19" s="10">
        <f>Assumptions!$E$16</f>
        <v>0.5</v>
      </c>
      <c r="AK19" s="10">
        <f t="shared" si="7"/>
        <v>9.8859373085103979</v>
      </c>
      <c r="AL19" s="10">
        <f t="shared" si="11"/>
        <v>9.8859373085103979</v>
      </c>
      <c r="AM19">
        <f t="shared" si="12"/>
        <v>7.866898821241449</v>
      </c>
    </row>
    <row r="20" spans="1:39" x14ac:dyDescent="0.2">
      <c r="A20" s="516"/>
      <c r="B20" s="516"/>
      <c r="C20" s="516"/>
      <c r="D20" s="516"/>
      <c r="E20" s="518"/>
      <c r="F20" s="56" t="s">
        <v>303</v>
      </c>
      <c r="G20" s="10">
        <f>'PDB_woody perennials'!K14</f>
        <v>3.5198400682061592E-2</v>
      </c>
      <c r="H20" s="80">
        <f>'PDB_woody perennials'!G14</f>
        <v>401.51220727104101</v>
      </c>
      <c r="I20" s="10">
        <f>'PDB_woody perennials'!J14</f>
        <v>2706.9124615141436</v>
      </c>
      <c r="J20" s="10">
        <f>Assumptions!$E$16</f>
        <v>0.5</v>
      </c>
      <c r="K20" s="10">
        <f>'PDB_woody perennials'!K118</f>
        <v>3.6407658297630957E-2</v>
      </c>
      <c r="L20" s="80">
        <f>'PDB_woody perennials'!G118</f>
        <v>394.80059712000099</v>
      </c>
      <c r="M20" s="10">
        <f>'PDB_woody perennials'!J118</f>
        <v>2822.6858753718257</v>
      </c>
      <c r="N20" s="10">
        <f t="shared" si="0"/>
        <v>115.77341385768204</v>
      </c>
      <c r="O20" s="10">
        <f>Assumptions!$E$16</f>
        <v>0.5</v>
      </c>
      <c r="P20" s="10">
        <f t="shared" si="1"/>
        <v>7.7275713014146179</v>
      </c>
      <c r="Q20" s="10">
        <f t="shared" si="8"/>
        <v>7.7275713014146179</v>
      </c>
      <c r="R20" s="10">
        <f>'PDB_woody perennials'!K221</f>
        <v>3.8446630437203713E-2</v>
      </c>
      <c r="S20" s="80">
        <f>'PDB_woody perennials'!G221</f>
        <v>402.03726794297455</v>
      </c>
      <c r="T20" s="10">
        <f>'PDB_woody perennials'!J221</f>
        <v>2998.1434653692158</v>
      </c>
      <c r="U20" s="10">
        <f t="shared" si="2"/>
        <v>175.45758999739019</v>
      </c>
      <c r="V20" s="10">
        <f>Assumptions!$E$16</f>
        <v>0.5</v>
      </c>
      <c r="W20" s="10">
        <f t="shared" si="3"/>
        <v>12.36721405339213</v>
      </c>
      <c r="X20" s="10">
        <f t="shared" si="9"/>
        <v>12.36721405339213</v>
      </c>
      <c r="Y20" s="10">
        <f>'PDB_woody perennials'!K324</f>
        <v>4.0599793040551065E-2</v>
      </c>
      <c r="Z20" s="80">
        <f>'PDB_woody perennials'!G324</f>
        <v>409.40658649997408</v>
      </c>
      <c r="AA20" s="10">
        <f>'PDB_woody perennials'!J324</f>
        <v>3184.5074641017386</v>
      </c>
      <c r="AB20" s="10">
        <f t="shared" si="4"/>
        <v>186.36399873252276</v>
      </c>
      <c r="AC20" s="10">
        <f>Assumptions!$E$16</f>
        <v>0.5</v>
      </c>
      <c r="AD20" s="10">
        <f t="shared" si="5"/>
        <v>13.871622927708232</v>
      </c>
      <c r="AE20" s="10">
        <f t="shared" si="10"/>
        <v>13.871622927708232</v>
      </c>
      <c r="AF20" s="10">
        <f>'PDB_woody perennials'!K427</f>
        <v>4.2873541223017661E-2</v>
      </c>
      <c r="AG20" s="80">
        <f>'PDB_woody perennials'!G427</f>
        <v>416.91098421585957</v>
      </c>
      <c r="AH20" s="10">
        <f>'PDB_woody perennials'!J427</f>
        <v>3382.4558117570978</v>
      </c>
      <c r="AI20" s="10">
        <f t="shared" si="6"/>
        <v>197.94834765535916</v>
      </c>
      <c r="AJ20" s="10">
        <f>Assumptions!$E$16</f>
        <v>0.5</v>
      </c>
      <c r="AK20" s="10">
        <f t="shared" si="7"/>
        <v>15.559035512588833</v>
      </c>
      <c r="AL20" s="10">
        <f t="shared" si="11"/>
        <v>15.559035512588833</v>
      </c>
      <c r="AM20">
        <f t="shared" si="12"/>
        <v>12.381360948775955</v>
      </c>
    </row>
    <row r="21" spans="1:39" ht="16.25" customHeight="1" x14ac:dyDescent="0.2">
      <c r="A21" s="516"/>
      <c r="B21" s="516"/>
      <c r="C21" s="516"/>
      <c r="D21" s="516"/>
      <c r="E21" s="518"/>
      <c r="F21" s="56" t="s">
        <v>304</v>
      </c>
      <c r="G21" s="10">
        <f>'PDB_woody perennials'!K15</f>
        <v>2.5080456995373659E-3</v>
      </c>
      <c r="H21" s="80">
        <f>'PDB_woody perennials'!G15</f>
        <v>44.347901322005271</v>
      </c>
      <c r="I21" s="10">
        <f>'PDB_woody perennials'!J15</f>
        <v>179.81620909180523</v>
      </c>
      <c r="J21" s="10">
        <f>Assumptions!$E$16</f>
        <v>0.5</v>
      </c>
      <c r="K21" s="10">
        <f>'PDB_woody perennials'!K119</f>
        <v>2.594210789529856E-3</v>
      </c>
      <c r="L21" s="80">
        <f>'PDB_woody perennials'!G119</f>
        <v>43.606589303839989</v>
      </c>
      <c r="M21" s="10">
        <f>'PDB_woody perennials'!J119</f>
        <v>187.50686650665912</v>
      </c>
      <c r="N21" s="10">
        <f t="shared" si="0"/>
        <v>7.690657414853888</v>
      </c>
      <c r="O21" s="10">
        <f>Assumptions!$E$16</f>
        <v>0.5</v>
      </c>
      <c r="P21" s="10">
        <f t="shared" si="1"/>
        <v>3.6577175147684868E-2</v>
      </c>
      <c r="Q21" s="10">
        <f t="shared" si="8"/>
        <v>3.6577175147684868E-2</v>
      </c>
      <c r="R21" s="10">
        <f>'PDB_woody perennials'!K222</f>
        <v>2.7394968027303975E-3</v>
      </c>
      <c r="S21" s="80">
        <f>'PDB_woody perennials'!G222</f>
        <v>44.405895421425654</v>
      </c>
      <c r="T21" s="10">
        <f>'PDB_woody perennials'!J222</f>
        <v>199.16225586197908</v>
      </c>
      <c r="U21" s="10">
        <f t="shared" si="2"/>
        <v>11.655389355319954</v>
      </c>
      <c r="V21" s="10">
        <f>Assumptions!$E$16</f>
        <v>0.5</v>
      </c>
      <c r="W21" s="10">
        <f t="shared" si="3"/>
        <v>5.8538153434707696E-2</v>
      </c>
      <c r="X21" s="10">
        <f t="shared" si="9"/>
        <v>5.8538153434707696E-2</v>
      </c>
      <c r="Y21" s="10">
        <f>'PDB_woody perennials'!K325</f>
        <v>2.8929194044136084E-3</v>
      </c>
      <c r="Z21" s="80">
        <f>'PDB_woody perennials'!G325</f>
        <v>45.21985277130922</v>
      </c>
      <c r="AA21" s="10">
        <f>'PDB_woody perennials'!J325</f>
        <v>211.542141890701</v>
      </c>
      <c r="AB21" s="10">
        <f t="shared" si="4"/>
        <v>12.379886028721927</v>
      </c>
      <c r="AC21" s="10">
        <f>Assumptions!$E$16</f>
        <v>0.5</v>
      </c>
      <c r="AD21" s="10">
        <f t="shared" si="5"/>
        <v>6.5659022947684081E-2</v>
      </c>
      <c r="AE21" s="10">
        <f t="shared" si="10"/>
        <v>6.5659022947684081E-2</v>
      </c>
      <c r="AF21" s="10">
        <f>'PDB_woody perennials'!K428</f>
        <v>3.0549342755544022E-3</v>
      </c>
      <c r="AG21" s="80">
        <f>'PDB_woody perennials'!G428</f>
        <v>46.048729909683523</v>
      </c>
      <c r="AH21" s="10">
        <f>'PDB_woody perennials'!J428</f>
        <v>224.69155916127806</v>
      </c>
      <c r="AI21" s="10">
        <f t="shared" si="6"/>
        <v>13.149417270577061</v>
      </c>
      <c r="AJ21" s="10">
        <f>Assumptions!$E$16</f>
        <v>0.5</v>
      </c>
      <c r="AK21" s="10">
        <f t="shared" si="7"/>
        <v>7.364611012633028E-2</v>
      </c>
      <c r="AL21" s="10">
        <f t="shared" si="11"/>
        <v>7.364611012633028E-2</v>
      </c>
      <c r="AM21">
        <f t="shared" si="12"/>
        <v>5.8605115414101724E-2</v>
      </c>
    </row>
    <row r="22" spans="1:39" x14ac:dyDescent="0.2">
      <c r="A22" s="582" t="s">
        <v>10</v>
      </c>
      <c r="B22" s="582"/>
      <c r="C22" s="582"/>
      <c r="D22" s="582" t="s">
        <v>35</v>
      </c>
      <c r="E22" s="583">
        <f>Assumptions!D62</f>
        <v>6772.8780000000015</v>
      </c>
      <c r="F22" s="55" t="s">
        <v>173</v>
      </c>
      <c r="G22" s="10">
        <f>'PDB_woody perennials'!K16</f>
        <v>5.6295117126720336E-3</v>
      </c>
      <c r="H22" s="80">
        <f>'PDB_woody perennials'!G16</f>
        <v>74.111593484424915</v>
      </c>
      <c r="I22" s="10">
        <f>'PDB_woody perennials'!J16</f>
        <v>423.12011445612961</v>
      </c>
      <c r="J22" s="10">
        <f>Assumptions!$E$16</f>
        <v>0.5</v>
      </c>
      <c r="K22" s="10">
        <f>'PDB_woody perennials'!K120</f>
        <v>5.8229162361325276E-3</v>
      </c>
      <c r="L22" s="80">
        <f>'PDB_woody perennials'!G120</f>
        <v>72.872756621853412</v>
      </c>
      <c r="M22" s="10">
        <f>'PDB_woody perennials'!J120</f>
        <v>441.21676915734463</v>
      </c>
      <c r="N22" s="10">
        <f t="shared" si="0"/>
        <v>18.096654701215016</v>
      </c>
      <c r="O22" s="10">
        <f>Assumptions!$E$16</f>
        <v>0.5</v>
      </c>
      <c r="P22" s="10">
        <f t="shared" si="1"/>
        <v>0.19318805821221308</v>
      </c>
      <c r="Q22" s="10">
        <f t="shared" si="8"/>
        <v>0.19318805821221308</v>
      </c>
      <c r="R22" s="10">
        <f>'PDB_woody perennials'!K223</f>
        <v>6.1490224602538564E-3</v>
      </c>
      <c r="S22" s="80">
        <f>'PDB_woody perennials'!G223</f>
        <v>74.208509798221399</v>
      </c>
      <c r="T22" s="10">
        <f>'PDB_woody perennials'!J223</f>
        <v>468.64271536632003</v>
      </c>
      <c r="U22" s="10">
        <f t="shared" si="2"/>
        <v>27.425946208975404</v>
      </c>
      <c r="V22" s="10">
        <f>Assumptions!$E$16</f>
        <v>0.5</v>
      </c>
      <c r="W22" s="10">
        <f t="shared" si="3"/>
        <v>0.30917839192662372</v>
      </c>
      <c r="X22" s="10">
        <f t="shared" si="9"/>
        <v>0.30917839192662372</v>
      </c>
      <c r="Y22" s="10">
        <f>'PDB_woody perennials'!K326</f>
        <v>6.4933919162504412E-3</v>
      </c>
      <c r="Z22" s="80">
        <f>'PDB_woody perennials'!G326</f>
        <v>75.56874724869796</v>
      </c>
      <c r="AA22" s="10">
        <f>'PDB_woody perennials'!J326</f>
        <v>497.77345291152352</v>
      </c>
      <c r="AB22" s="10">
        <f t="shared" si="4"/>
        <v>29.130737545203488</v>
      </c>
      <c r="AC22" s="10">
        <f>Assumptions!$E$16</f>
        <v>0.5</v>
      </c>
      <c r="AD22" s="10">
        <f t="shared" si="5"/>
        <v>0.34678837543246882</v>
      </c>
      <c r="AE22" s="10">
        <f t="shared" si="10"/>
        <v>0.34678837543246882</v>
      </c>
      <c r="AF22" s="10">
        <f>'PDB_woody perennials'!K429</f>
        <v>6.857047416978514E-3</v>
      </c>
      <c r="AG22" s="80">
        <f>'PDB_woody perennials'!G429</f>
        <v>76.953917768531525</v>
      </c>
      <c r="AH22" s="10">
        <f>'PDB_woody perennials'!J429</f>
        <v>528.71495128177003</v>
      </c>
      <c r="AI22" s="10">
        <f t="shared" si="6"/>
        <v>30.941498370246507</v>
      </c>
      <c r="AJ22" s="10">
        <f>Assumptions!$E$16</f>
        <v>0.5</v>
      </c>
      <c r="AK22" s="10">
        <f t="shared" si="7"/>
        <v>0.38897342270809676</v>
      </c>
      <c r="AL22" s="10">
        <f t="shared" si="11"/>
        <v>0.38897342270809676</v>
      </c>
      <c r="AM22">
        <f t="shared" si="12"/>
        <v>0.30953206206985057</v>
      </c>
    </row>
    <row r="23" spans="1:39" x14ac:dyDescent="0.2">
      <c r="A23" s="516"/>
      <c r="B23" s="516"/>
      <c r="C23" s="516"/>
      <c r="D23" s="516"/>
      <c r="E23" s="518"/>
      <c r="F23" s="55" t="s">
        <v>170</v>
      </c>
      <c r="G23" s="10">
        <f>'PDB_woody perennials'!K17</f>
        <v>5.3259305696124731E-3</v>
      </c>
      <c r="H23" s="80">
        <f>'PDB_woody perennials'!G17</f>
        <v>149.1160977337224</v>
      </c>
      <c r="I23" s="10">
        <f>'PDB_woody perennials'!J17</f>
        <v>354.77602881854017</v>
      </c>
      <c r="J23" s="10">
        <f>Assumptions!$E$16</f>
        <v>0.5</v>
      </c>
      <c r="K23" s="10">
        <f>'PDB_woody perennials'!K121</f>
        <v>5.5089054200743543E-3</v>
      </c>
      <c r="L23" s="80">
        <f>'PDB_woody perennials'!G121</f>
        <v>146.6234982632472</v>
      </c>
      <c r="M23" s="10">
        <f>'PDB_woody perennials'!J121</f>
        <v>369.94963808561522</v>
      </c>
      <c r="N23" s="10">
        <f t="shared" si="0"/>
        <v>15.173609267075051</v>
      </c>
      <c r="O23" s="10">
        <f>Assumptions!$E$16</f>
        <v>0.5</v>
      </c>
      <c r="P23" s="10">
        <f t="shared" si="1"/>
        <v>0.15324829361138037</v>
      </c>
      <c r="Q23" s="10">
        <f t="shared" si="8"/>
        <v>0.15324829361138037</v>
      </c>
      <c r="R23" s="10">
        <f>'PDB_woody perennials'!K224</f>
        <v>5.8174258027709766E-3</v>
      </c>
      <c r="S23" s="80">
        <f>'PDB_woody perennials'!G224</f>
        <v>149.31109802774665</v>
      </c>
      <c r="T23" s="10">
        <f>'PDB_woody perennials'!J224</f>
        <v>392.9456336674325</v>
      </c>
      <c r="U23" s="10">
        <f t="shared" si="2"/>
        <v>22.995995581817283</v>
      </c>
      <c r="V23" s="10">
        <f>Assumptions!$E$16</f>
        <v>0.5</v>
      </c>
      <c r="W23" s="10">
        <f t="shared" si="3"/>
        <v>0.24525874643979728</v>
      </c>
      <c r="X23" s="10">
        <f t="shared" si="9"/>
        <v>0.24525874643979728</v>
      </c>
      <c r="Y23" s="10">
        <f>'PDB_woody perennials'!K327</f>
        <v>6.1432245410175798E-3</v>
      </c>
      <c r="Z23" s="80">
        <f>'PDB_woody perennials'!G327</f>
        <v>152.04796133171757</v>
      </c>
      <c r="AA23" s="10">
        <f>'PDB_woody perennials'!J327</f>
        <v>417.37105573966471</v>
      </c>
      <c r="AB23" s="10">
        <f t="shared" si="4"/>
        <v>24.425422072232209</v>
      </c>
      <c r="AC23" s="10">
        <f>Assumptions!$E$16</f>
        <v>0.5</v>
      </c>
      <c r="AD23" s="10">
        <f t="shared" si="5"/>
        <v>0.2750932292145572</v>
      </c>
      <c r="AE23" s="10">
        <f t="shared" si="10"/>
        <v>0.2750932292145572</v>
      </c>
      <c r="AF23" s="10">
        <f>'PDB_woody perennials'!K430</f>
        <v>6.4872692907204065E-3</v>
      </c>
      <c r="AG23" s="80">
        <f>'PDB_woody perennials'!G430</f>
        <v>154.8349911728285</v>
      </c>
      <c r="AH23" s="10">
        <f>'PDB_woody perennials'!J430</f>
        <v>443.31475716733468</v>
      </c>
      <c r="AI23" s="10">
        <f t="shared" si="6"/>
        <v>25.943701427669964</v>
      </c>
      <c r="AJ23" s="10">
        <f>Assumptions!$E$16</f>
        <v>0.5</v>
      </c>
      <c r="AK23" s="10">
        <f t="shared" si="7"/>
        <v>0.30855692552546132</v>
      </c>
      <c r="AL23" s="10">
        <f t="shared" si="11"/>
        <v>0.30855692552546132</v>
      </c>
      <c r="AM23">
        <f t="shared" si="12"/>
        <v>0.24553929869779903</v>
      </c>
    </row>
    <row r="24" spans="1:39" x14ac:dyDescent="0.2">
      <c r="A24" s="516"/>
      <c r="B24" s="516"/>
      <c r="C24" s="516"/>
      <c r="D24" s="516"/>
      <c r="E24" s="518"/>
      <c r="F24" s="55" t="s">
        <v>171</v>
      </c>
      <c r="G24" s="10">
        <f>'PDB_woody perennials'!K18</f>
        <v>4.5221575523234636E-2</v>
      </c>
      <c r="H24" s="80">
        <f>'PDB_woody perennials'!G18</f>
        <v>669.68307365444207</v>
      </c>
      <c r="I24" s="10">
        <f>'PDB_woody perennials'!J18</f>
        <v>3335.5028811854595</v>
      </c>
      <c r="J24" s="10">
        <f>Assumptions!$E$16</f>
        <v>0.5</v>
      </c>
      <c r="K24" s="10">
        <f>'PDB_woody perennials'!K122</f>
        <v>4.6775184026173991E-2</v>
      </c>
      <c r="L24" s="80">
        <f>'PDB_woody perennials'!G122</f>
        <v>658.48876465530191</v>
      </c>
      <c r="M24" s="10">
        <f>'PDB_woody perennials'!J122</f>
        <v>3478.1608211732773</v>
      </c>
      <c r="N24" s="10">
        <f t="shared" si="0"/>
        <v>142.65793998781783</v>
      </c>
      <c r="O24" s="10">
        <f>Assumptions!$E$16</f>
        <v>0.5</v>
      </c>
      <c r="P24" s="10">
        <f t="shared" si="1"/>
        <v>12.233560892162616</v>
      </c>
      <c r="Q24" s="10">
        <f t="shared" si="8"/>
        <v>12.233560892162616</v>
      </c>
      <c r="R24" s="10">
        <f>'PDB_woody perennials'!K225</f>
        <v>4.9394778405825783E-2</v>
      </c>
      <c r="S24" s="80">
        <f>'PDB_woody perennials'!G225</f>
        <v>670.55882347790418</v>
      </c>
      <c r="T24" s="10">
        <f>'PDB_woody perennials'!J225</f>
        <v>3694.3626028277854</v>
      </c>
      <c r="U24" s="10">
        <f t="shared" si="2"/>
        <v>216.20178165450807</v>
      </c>
      <c r="V24" s="10">
        <f>Assumptions!$E$16</f>
        <v>0.5</v>
      </c>
      <c r="W24" s="10">
        <f t="shared" si="3"/>
        <v>19.578605008910117</v>
      </c>
      <c r="X24" s="10">
        <f t="shared" si="9"/>
        <v>19.578605008910117</v>
      </c>
      <c r="Y24" s="10">
        <f>'PDB_woody perennials'!K328</f>
        <v>5.2161080379616878E-2</v>
      </c>
      <c r="Z24" s="80">
        <f>'PDB_woody perennials'!G328</f>
        <v>682.85012574124664</v>
      </c>
      <c r="AA24" s="10">
        <f>'PDB_woody perennials'!J328</f>
        <v>3924.0034440295231</v>
      </c>
      <c r="AB24" s="10">
        <f t="shared" si="4"/>
        <v>229.64084120173766</v>
      </c>
      <c r="AC24" s="10">
        <f>Assumptions!$E$16</f>
        <v>0.5</v>
      </c>
      <c r="AD24" s="10">
        <f t="shared" si="5"/>
        <v>21.960243023338904</v>
      </c>
      <c r="AE24" s="10">
        <f t="shared" si="10"/>
        <v>21.960243023338904</v>
      </c>
      <c r="AF24" s="10">
        <f>'PDB_woody perennials'!K431</f>
        <v>5.5082306150156864E-2</v>
      </c>
      <c r="AG24" s="80">
        <f>'PDB_woody perennials'!G431</f>
        <v>695.36672682408005</v>
      </c>
      <c r="AH24" s="10">
        <f>'PDB_woody perennials'!J431</f>
        <v>4167.9187140346139</v>
      </c>
      <c r="AI24" s="10">
        <f t="shared" si="6"/>
        <v>243.91527000509086</v>
      </c>
      <c r="AJ24" s="10">
        <f>Assumptions!$E$16</f>
        <v>0.5</v>
      </c>
      <c r="AK24" s="10">
        <f t="shared" si="7"/>
        <v>24.631595224717412</v>
      </c>
      <c r="AL24" s="10">
        <f t="shared" si="11"/>
        <v>24.631595224717412</v>
      </c>
      <c r="AM24">
        <f t="shared" si="12"/>
        <v>19.601001037282263</v>
      </c>
    </row>
    <row r="25" spans="1:39" x14ac:dyDescent="0.2">
      <c r="A25" s="516"/>
      <c r="B25" s="516"/>
      <c r="C25" s="516"/>
      <c r="D25" s="516"/>
      <c r="E25" s="518"/>
      <c r="F25" s="55" t="s">
        <v>172</v>
      </c>
      <c r="G25" s="10">
        <f>'PDB_woody perennials'!K19</f>
        <v>3.3979162410295811E-2</v>
      </c>
      <c r="H25" s="80">
        <f>'PDB_woody perennials'!G19</f>
        <v>379.48707507085049</v>
      </c>
      <c r="I25" s="10">
        <f>'PDB_woody perennials'!J19</f>
        <v>2622.0114895682459</v>
      </c>
      <c r="J25" s="10">
        <f>Assumptions!$E$16</f>
        <v>0.5</v>
      </c>
      <c r="K25" s="10">
        <f>'PDB_woody perennials'!K123</f>
        <v>3.5146532521411672E-2</v>
      </c>
      <c r="L25" s="80">
        <f>'PDB_woody perennials'!G123</f>
        <v>373.14363330467108</v>
      </c>
      <c r="M25" s="10">
        <f>'PDB_woody perennials'!J123</f>
        <v>2734.1537275006826</v>
      </c>
      <c r="N25" s="10">
        <f t="shared" si="0"/>
        <v>112.14223793243673</v>
      </c>
      <c r="O25" s="10">
        <f>Assumptions!$E$16</f>
        <v>0.5</v>
      </c>
      <c r="P25" s="10">
        <f t="shared" si="1"/>
        <v>7.2259198229465014</v>
      </c>
      <c r="Q25" s="10">
        <f t="shared" si="8"/>
        <v>7.2259198229465014</v>
      </c>
      <c r="R25" s="10">
        <f>'PDB_woody perennials'!K226</f>
        <v>3.7114876654613153E-2</v>
      </c>
      <c r="S25" s="80">
        <f>'PDB_woody perennials'!G226</f>
        <v>379.98333330414573</v>
      </c>
      <c r="T25" s="10">
        <f>'PDB_woody perennials'!J226</f>
        <v>2904.108176876477</v>
      </c>
      <c r="U25" s="10">
        <f t="shared" si="2"/>
        <v>169.95444937579441</v>
      </c>
      <c r="V25" s="10">
        <f>Assumptions!$E$16</f>
        <v>0.5</v>
      </c>
      <c r="W25" s="10">
        <f t="shared" si="3"/>
        <v>11.564370446723059</v>
      </c>
      <c r="X25" s="10">
        <f t="shared" si="9"/>
        <v>11.564370446723059</v>
      </c>
      <c r="Y25" s="10">
        <f>'PDB_woody perennials'!K329</f>
        <v>3.9193455805290343E-2</v>
      </c>
      <c r="Z25" s="80">
        <f>'PDB_woody perennials'!G329</f>
        <v>386.94840458670643</v>
      </c>
      <c r="AA25" s="10">
        <f>'PDB_woody perennials'!J329</f>
        <v>3084.6269608659768</v>
      </c>
      <c r="AB25" s="10">
        <f t="shared" si="4"/>
        <v>180.51878398949975</v>
      </c>
      <c r="AC25" s="10">
        <f>Assumptions!$E$16</f>
        <v>0.5</v>
      </c>
      <c r="AD25" s="10">
        <f t="shared" si="5"/>
        <v>12.971117467581557</v>
      </c>
      <c r="AE25" s="10">
        <f t="shared" si="10"/>
        <v>12.971117467581557</v>
      </c>
      <c r="AF25" s="10">
        <f>'PDB_woody perennials'!K432</f>
        <v>4.1388443568229301E-2</v>
      </c>
      <c r="AG25" s="80">
        <f>'PDB_woody perennials'!G432</f>
        <v>394.04114520031203</v>
      </c>
      <c r="AH25" s="10">
        <f>'PDB_woody perennials'!J432</f>
        <v>3276.3667563978497</v>
      </c>
      <c r="AI25" s="10">
        <f t="shared" si="6"/>
        <v>191.73979553187291</v>
      </c>
      <c r="AJ25" s="10">
        <f>Assumptions!$E$16</f>
        <v>0.5</v>
      </c>
      <c r="AK25" s="10">
        <f t="shared" si="7"/>
        <v>14.548988129783702</v>
      </c>
      <c r="AL25" s="10">
        <f t="shared" si="11"/>
        <v>14.548988129783702</v>
      </c>
      <c r="AM25">
        <f t="shared" si="12"/>
        <v>11.577598966758705</v>
      </c>
    </row>
    <row r="26" spans="1:39" x14ac:dyDescent="0.2">
      <c r="A26" s="582" t="s">
        <v>11</v>
      </c>
      <c r="B26" s="582"/>
      <c r="C26" s="582"/>
      <c r="D26" s="582" t="s">
        <v>35</v>
      </c>
      <c r="E26" s="583">
        <f>Assumptions!D63</f>
        <v>4319.8270000000002</v>
      </c>
      <c r="F26" s="55" t="s">
        <v>174</v>
      </c>
      <c r="G26" s="10">
        <f>'PDB_woody perennials'!K20</f>
        <v>2.9911020063715248E-2</v>
      </c>
      <c r="H26" s="80">
        <f>'PDB_woody perennials'!G20</f>
        <v>89.29107648725892</v>
      </c>
      <c r="I26" s="10">
        <f>'PDB_woody perennials'!J20</f>
        <v>2850.5872800968341</v>
      </c>
      <c r="J26" s="10">
        <f>Assumptions!$E$16</f>
        <v>0.5</v>
      </c>
      <c r="K26" s="10">
        <f>'PDB_woody perennials'!K124</f>
        <v>3.0938627230535466E-2</v>
      </c>
      <c r="L26" s="80">
        <f>'PDB_woody perennials'!G124</f>
        <v>87.798501954040233</v>
      </c>
      <c r="M26" s="10">
        <f>'PDB_woody perennials'!J124</f>
        <v>2972.5056005479796</v>
      </c>
      <c r="N26" s="10">
        <f t="shared" si="0"/>
        <v>121.91832045114552</v>
      </c>
      <c r="O26" s="10">
        <f>Assumptions!$E$16</f>
        <v>0.5</v>
      </c>
      <c r="P26" s="10">
        <f t="shared" si="1"/>
        <v>6.9153066931867597</v>
      </c>
      <c r="Q26" s="10">
        <f t="shared" si="8"/>
        <v>6.9153066931867597</v>
      </c>
      <c r="R26" s="10">
        <f>'PDB_woody perennials'!K227</f>
        <v>3.2671312108095783E-2</v>
      </c>
      <c r="S26" s="80">
        <f>'PDB_woody perennials'!G227</f>
        <v>89.407843130387207</v>
      </c>
      <c r="T26" s="10">
        <f>'PDB_woody perennials'!J227</f>
        <v>3157.2759547260516</v>
      </c>
      <c r="U26" s="10">
        <f t="shared" si="2"/>
        <v>184.77035417807201</v>
      </c>
      <c r="V26" s="10">
        <f>Assumptions!$E$16</f>
        <v>0.5</v>
      </c>
      <c r="W26" s="10">
        <f t="shared" si="3"/>
        <v>11.067264834404517</v>
      </c>
      <c r="X26" s="10">
        <f t="shared" si="9"/>
        <v>11.067264834404517</v>
      </c>
      <c r="Y26" s="10">
        <f>'PDB_woody perennials'!K330</f>
        <v>3.450103415742703E-2</v>
      </c>
      <c r="Z26" s="80">
        <f>'PDB_woody perennials'!G330</f>
        <v>91.046683432166205</v>
      </c>
      <c r="AA26" s="10">
        <f>'PDB_woody perennials'!J330</f>
        <v>3353.5315971998948</v>
      </c>
      <c r="AB26" s="10">
        <f t="shared" si="4"/>
        <v>196.25564247384318</v>
      </c>
      <c r="AC26" s="10">
        <f>Assumptions!$E$16</f>
        <v>0.5</v>
      </c>
      <c r="AD26" s="10">
        <f t="shared" si="5"/>
        <v>12.413541478392725</v>
      </c>
      <c r="AE26" s="10">
        <f t="shared" si="10"/>
        <v>12.413541478392725</v>
      </c>
      <c r="AF26" s="10">
        <f>'PDB_woody perennials'!K433</f>
        <v>3.6433227842018356E-2</v>
      </c>
      <c r="AG26" s="80">
        <f>'PDB_woody perennials'!G433</f>
        <v>92.715563576544</v>
      </c>
      <c r="AH26" s="10">
        <f>'PDB_woody perennials'!J433</f>
        <v>3561.98645119504</v>
      </c>
      <c r="AI26" s="10">
        <f t="shared" si="6"/>
        <v>208.45485399514519</v>
      </c>
      <c r="AJ26" s="10">
        <f>Assumptions!$E$16</f>
        <v>0.5</v>
      </c>
      <c r="AK26" s="10">
        <f t="shared" si="7"/>
        <v>13.923585849029626</v>
      </c>
      <c r="AL26" s="10">
        <f t="shared" si="11"/>
        <v>13.923585849029626</v>
      </c>
      <c r="AM26">
        <f t="shared" si="12"/>
        <v>11.079924713753407</v>
      </c>
    </row>
    <row r="27" spans="1:39" x14ac:dyDescent="0.2">
      <c r="A27" s="516"/>
      <c r="B27" s="516"/>
      <c r="C27" s="516"/>
      <c r="D27" s="516"/>
      <c r="E27" s="518"/>
      <c r="F27" s="55" t="s">
        <v>175</v>
      </c>
      <c r="G27" s="10">
        <f>'PDB_woody perennials'!K21</f>
        <v>8.9695686988234007E-4</v>
      </c>
      <c r="H27" s="80">
        <f>'PDB_woody perennials'!G21</f>
        <v>44.64553824362946</v>
      </c>
      <c r="I27" s="10">
        <f>'PDB_woody perennials'!J21</f>
        <v>54.494156217764342</v>
      </c>
      <c r="J27" s="10">
        <f>Assumptions!$E$16</f>
        <v>0.5</v>
      </c>
      <c r="K27" s="10">
        <f>'PDB_woody perennials'!K125</f>
        <v>9.2777224514725275E-4</v>
      </c>
      <c r="L27" s="80">
        <f>'PDB_woody perennials'!G125</f>
        <v>43.899250977020117</v>
      </c>
      <c r="M27" s="10">
        <f>'PDB_woody perennials'!J125</f>
        <v>56.824846474772293</v>
      </c>
      <c r="N27" s="10">
        <f t="shared" si="0"/>
        <v>2.3306902570079515</v>
      </c>
      <c r="O27" s="10">
        <f>Assumptions!$E$16</f>
        <v>0.5</v>
      </c>
      <c r="P27" s="10">
        <f t="shared" si="1"/>
        <v>3.9643078428930074E-3</v>
      </c>
      <c r="Q27" s="10">
        <f t="shared" si="8"/>
        <v>3.9643078428930074E-3</v>
      </c>
      <c r="R27" s="10">
        <f>'PDB_woody perennials'!K228</f>
        <v>9.7973114193373469E-4</v>
      </c>
      <c r="S27" s="80">
        <f>'PDB_woody perennials'!G228</f>
        <v>44.703921565193603</v>
      </c>
      <c r="T27" s="10">
        <f>'PDB_woody perennials'!J228</f>
        <v>60.357067577172451</v>
      </c>
      <c r="U27" s="10">
        <f t="shared" si="2"/>
        <v>3.5322211024001575</v>
      </c>
      <c r="V27" s="10">
        <f>Assumptions!$E$16</f>
        <v>0.5</v>
      </c>
      <c r="W27" s="10">
        <f t="shared" si="3"/>
        <v>6.344482859397726E-3</v>
      </c>
      <c r="X27" s="10">
        <f t="shared" si="9"/>
        <v>6.344482859397726E-3</v>
      </c>
      <c r="Y27" s="10">
        <f>'PDB_woody perennials'!K331</f>
        <v>1.0345999414138889E-3</v>
      </c>
      <c r="Z27" s="80">
        <f>'PDB_woody perennials'!G331</f>
        <v>45.523341716083102</v>
      </c>
      <c r="AA27" s="10">
        <f>'PDB_woody perennials'!J331</f>
        <v>64.108850837506111</v>
      </c>
      <c r="AB27" s="10">
        <f t="shared" si="4"/>
        <v>3.7517832603336601</v>
      </c>
      <c r="AC27" s="10">
        <f>Assumptions!$E$16</f>
        <v>0.5</v>
      </c>
      <c r="AD27" s="10">
        <f t="shared" si="5"/>
        <v>7.116257025787825E-3</v>
      </c>
      <c r="AE27" s="10">
        <f t="shared" si="10"/>
        <v>7.116257025787825E-3</v>
      </c>
      <c r="AF27" s="10">
        <f>'PDB_woody perennials'!K434</f>
        <v>1.0925416095898886E-3</v>
      </c>
      <c r="AG27" s="80">
        <f>'PDB_woody perennials'!G434</f>
        <v>46.357781788272</v>
      </c>
      <c r="AH27" s="10">
        <f>'PDB_woody perennials'!J434</f>
        <v>68.093844195638439</v>
      </c>
      <c r="AI27" s="10">
        <f t="shared" si="6"/>
        <v>3.9849933581323285</v>
      </c>
      <c r="AJ27" s="10">
        <f>Assumptions!$E$16</f>
        <v>0.5</v>
      </c>
      <c r="AK27" s="10">
        <f t="shared" si="7"/>
        <v>7.9819136057813333E-3</v>
      </c>
      <c r="AL27" s="10">
        <f t="shared" si="11"/>
        <v>7.9819136057813333E-3</v>
      </c>
      <c r="AM27">
        <f t="shared" si="12"/>
        <v>6.3517403334649725E-3</v>
      </c>
    </row>
    <row r="28" spans="1:39" x14ac:dyDescent="0.2">
      <c r="A28" s="516"/>
      <c r="B28" s="516"/>
      <c r="C28" s="516"/>
      <c r="D28" s="516"/>
      <c r="E28" s="518"/>
      <c r="F28" s="55" t="s">
        <v>176</v>
      </c>
      <c r="G28" s="10">
        <f>'PDB_woody perennials'!K22</f>
        <v>2.2423921747058501E-2</v>
      </c>
      <c r="H28" s="80">
        <f>'PDB_woody perennials'!G22</f>
        <v>44.64553824362946</v>
      </c>
      <c r="I28" s="10">
        <f>'PDB_woody perennials'!J22</f>
        <v>2280.1338523700601</v>
      </c>
      <c r="J28" s="10">
        <f>Assumptions!$E$16</f>
        <v>0.5</v>
      </c>
      <c r="K28" s="10">
        <f>'PDB_woody perennials'!K126</f>
        <v>2.3194306128681324E-2</v>
      </c>
      <c r="L28" s="80">
        <f>'PDB_woody perennials'!G126</f>
        <v>43.899250977020117</v>
      </c>
      <c r="M28" s="10">
        <f>'PDB_woody perennials'!J126</f>
        <v>2377.6541393739813</v>
      </c>
      <c r="N28" s="10">
        <f t="shared" si="0"/>
        <v>97.520287003921112</v>
      </c>
      <c r="O28" s="10">
        <f>Assumptions!$E$16</f>
        <v>0.5</v>
      </c>
      <c r="P28" s="10">
        <f t="shared" si="1"/>
        <v>4.1468448826306501</v>
      </c>
      <c r="Q28" s="10">
        <f t="shared" si="8"/>
        <v>4.1468448826306501</v>
      </c>
      <c r="R28" s="10">
        <f>'PDB_woody perennials'!K229</f>
        <v>2.4493278548343374E-2</v>
      </c>
      <c r="S28" s="80">
        <f>'PDB_woody perennials'!G229</f>
        <v>44.703921565193603</v>
      </c>
      <c r="T28" s="10">
        <f>'PDB_woody perennials'!J229</f>
        <v>2525.4486455858787</v>
      </c>
      <c r="U28" s="10">
        <f t="shared" si="2"/>
        <v>147.79450621189744</v>
      </c>
      <c r="V28" s="10">
        <f>Assumptions!$E$16</f>
        <v>0.5</v>
      </c>
      <c r="W28" s="10">
        <f t="shared" si="3"/>
        <v>6.6366153490319268</v>
      </c>
      <c r="X28" s="10">
        <f t="shared" si="9"/>
        <v>6.6366153490319268</v>
      </c>
      <c r="Y28" s="10">
        <f>'PDB_woody perennials'!K332</f>
        <v>2.5864998535347218E-2</v>
      </c>
      <c r="Z28" s="80">
        <f>'PDB_woody perennials'!G332</f>
        <v>45.523341716083102</v>
      </c>
      <c r="AA28" s="10">
        <f>'PDB_woody perennials'!J332</f>
        <v>2682.4300287723104</v>
      </c>
      <c r="AB28" s="10">
        <f t="shared" si="4"/>
        <v>156.98138318643169</v>
      </c>
      <c r="AC28" s="10">
        <f>Assumptions!$E$16</f>
        <v>0.5</v>
      </c>
      <c r="AD28" s="10">
        <f t="shared" si="5"/>
        <v>7.4439259513553671</v>
      </c>
      <c r="AE28" s="10">
        <f t="shared" si="10"/>
        <v>7.4439259513553671</v>
      </c>
      <c r="AF28" s="10">
        <f>'PDB_woody perennials'!K435</f>
        <v>2.7313540239747209E-2</v>
      </c>
      <c r="AG28" s="80">
        <f>'PDB_woody perennials'!G435</f>
        <v>46.357781788272</v>
      </c>
      <c r="AH28" s="10">
        <f>'PDB_woody perennials'!J435</f>
        <v>2849.1693433703326</v>
      </c>
      <c r="AI28" s="10">
        <f t="shared" si="6"/>
        <v>166.73931459802225</v>
      </c>
      <c r="AJ28" s="10">
        <f>Assumptions!$E$16</f>
        <v>0.5</v>
      </c>
      <c r="AK28" s="10">
        <f t="shared" si="7"/>
        <v>8.3494417945050738</v>
      </c>
      <c r="AL28" s="10">
        <f t="shared" si="11"/>
        <v>8.3494417945050738</v>
      </c>
      <c r="AM28">
        <f t="shared" si="12"/>
        <v>6.6442069943807542</v>
      </c>
    </row>
    <row r="29" spans="1:39" x14ac:dyDescent="0.2">
      <c r="A29" s="516"/>
      <c r="B29" s="516"/>
      <c r="C29" s="516"/>
      <c r="D29" s="516"/>
      <c r="E29" s="518"/>
      <c r="F29" s="55" t="s">
        <v>177</v>
      </c>
      <c r="G29" s="10">
        <f>'PDB_woody perennials'!K23</f>
        <v>8.9944841674312413E-3</v>
      </c>
      <c r="H29" s="80">
        <f>'PDB_woody perennials'!G23</f>
        <v>44.64553824362946</v>
      </c>
      <c r="I29" s="10">
        <f>'PDB_woody perennials'!J23</f>
        <v>790.21885094983088</v>
      </c>
      <c r="J29" s="10">
        <f>Assumptions!$E$16</f>
        <v>0.5</v>
      </c>
      <c r="K29" s="10">
        <f>'PDB_woody perennials'!K127</f>
        <v>9.3034939027266152E-3</v>
      </c>
      <c r="L29" s="80">
        <f>'PDB_woody perennials'!G127</f>
        <v>43.899250977020117</v>
      </c>
      <c r="M29" s="10">
        <f>'PDB_woody perennials'!J127</f>
        <v>824.01615151638816</v>
      </c>
      <c r="N29" s="10">
        <f t="shared" si="0"/>
        <v>33.797300566557283</v>
      </c>
      <c r="O29" s="10">
        <f>Assumptions!$E$16</f>
        <v>0.5</v>
      </c>
      <c r="P29" s="10">
        <f t="shared" si="1"/>
        <v>0.57646046287423813</v>
      </c>
      <c r="Q29" s="10">
        <f t="shared" si="8"/>
        <v>0.57646046287423813</v>
      </c>
      <c r="R29" s="10">
        <f>'PDB_woody perennials'!K230</f>
        <v>9.8245261732799478E-3</v>
      </c>
      <c r="S29" s="80">
        <f>'PDB_woody perennials'!G230</f>
        <v>44.703921565193603</v>
      </c>
      <c r="T29" s="10">
        <f>'PDB_woody perennials'!J230</f>
        <v>875.2368308436437</v>
      </c>
      <c r="U29" s="10">
        <f t="shared" si="2"/>
        <v>51.220679327255539</v>
      </c>
      <c r="V29" s="10">
        <f>Assumptions!$E$16</f>
        <v>0.5</v>
      </c>
      <c r="W29" s="10">
        <f t="shared" si="3"/>
        <v>0.92256799188363547</v>
      </c>
      <c r="X29" s="10">
        <f t="shared" si="9"/>
        <v>0.92256799188363547</v>
      </c>
      <c r="Y29" s="10">
        <f>'PDB_woody perennials'!K333</f>
        <v>1.0374738301400383E-2</v>
      </c>
      <c r="Z29" s="80">
        <f>'PDB_woody perennials'!G333</f>
        <v>45.523341716083102</v>
      </c>
      <c r="AA29" s="10">
        <f>'PDB_woody perennials'!J333</f>
        <v>929.64137736320652</v>
      </c>
      <c r="AB29" s="10">
        <f t="shared" si="4"/>
        <v>54.404546519562814</v>
      </c>
      <c r="AC29" s="10">
        <f>Assumptions!$E$16</f>
        <v>0.5</v>
      </c>
      <c r="AD29" s="10">
        <f t="shared" si="5"/>
        <v>1.0347937096691833</v>
      </c>
      <c r="AE29" s="10">
        <f t="shared" si="10"/>
        <v>1.0347937096691833</v>
      </c>
      <c r="AF29" s="10">
        <f>'PDB_woody perennials'!K436</f>
        <v>1.095576447394305E-2</v>
      </c>
      <c r="AG29" s="80">
        <f>'PDB_woody perennials'!G436</f>
        <v>46.357781788272</v>
      </c>
      <c r="AH29" s="10">
        <f>'PDB_woody perennials'!J436</f>
        <v>987.42769962356624</v>
      </c>
      <c r="AI29" s="10">
        <f t="shared" si="6"/>
        <v>57.786322260359725</v>
      </c>
      <c r="AJ29" s="10">
        <f>Assumptions!$E$16</f>
        <v>0.5</v>
      </c>
      <c r="AK29" s="10">
        <f t="shared" si="7"/>
        <v>1.1606711169164348</v>
      </c>
      <c r="AL29" s="10">
        <f t="shared" si="11"/>
        <v>1.1606711169164348</v>
      </c>
      <c r="AM29">
        <f t="shared" si="12"/>
        <v>0.9236233203358728</v>
      </c>
    </row>
    <row r="30" spans="1:39" x14ac:dyDescent="0.2">
      <c r="A30" s="582" t="s">
        <v>12</v>
      </c>
      <c r="B30" s="582"/>
      <c r="C30" s="582"/>
      <c r="D30" s="582" t="s">
        <v>34</v>
      </c>
      <c r="E30" s="583">
        <f>Assumptions!D64</f>
        <v>1612.0500000000002</v>
      </c>
      <c r="F30" s="56" t="s">
        <v>305</v>
      </c>
      <c r="G30" s="10">
        <f>'PDB_woody perennials'!K24</f>
        <v>1.9533727388548739E-2</v>
      </c>
      <c r="H30" s="80">
        <f>'PDB_woody perennials'!G24</f>
        <v>714.32861189807136</v>
      </c>
      <c r="I30" s="10">
        <f>'PDB_woody perennials'!J24</f>
        <v>1246.7703540715579</v>
      </c>
      <c r="J30" s="10">
        <f>Assumptions!$E$16</f>
        <v>0.5</v>
      </c>
      <c r="K30" s="10">
        <f>'PDB_woody perennials'!K128</f>
        <v>2.020481778320684E-2</v>
      </c>
      <c r="L30" s="80">
        <f>'PDB_woody perennials'!G128</f>
        <v>702.38801563232187</v>
      </c>
      <c r="M30" s="10">
        <f>'PDB_woody perennials'!J128</f>
        <v>1300.0941546153983</v>
      </c>
      <c r="N30" s="10">
        <f t="shared" si="0"/>
        <v>53.323800543840434</v>
      </c>
      <c r="O30" s="10">
        <f>Assumptions!$E$16</f>
        <v>0.5</v>
      </c>
      <c r="P30" s="10">
        <f t="shared" si="1"/>
        <v>1.9752290680766631</v>
      </c>
      <c r="Q30" s="10">
        <f t="shared" si="8"/>
        <v>1.9752290680766631</v>
      </c>
      <c r="R30" s="10">
        <f>'PDB_woody perennials'!K231</f>
        <v>2.1336367091001333E-2</v>
      </c>
      <c r="S30" s="80">
        <f>'PDB_woody perennials'!G231</f>
        <v>715.26274504309765</v>
      </c>
      <c r="T30" s="10">
        <f>'PDB_woody perennials'!J231</f>
        <v>1380.9077474876349</v>
      </c>
      <c r="U30" s="10">
        <f t="shared" si="2"/>
        <v>80.813592872236541</v>
      </c>
      <c r="V30" s="10">
        <f>Assumptions!$E$16</f>
        <v>0.5</v>
      </c>
      <c r="W30" s="10">
        <f t="shared" si="3"/>
        <v>3.1611588863520743</v>
      </c>
      <c r="X30" s="10">
        <f t="shared" si="9"/>
        <v>3.1611588863520743</v>
      </c>
      <c r="Y30" s="10">
        <f>'PDB_woody perennials'!K334</f>
        <v>2.2531287613013581E-2</v>
      </c>
      <c r="Z30" s="80">
        <f>'PDB_woody perennials'!G334</f>
        <v>728.37346745732964</v>
      </c>
      <c r="AA30" s="10">
        <f>'PDB_woody perennials'!J334</f>
        <v>1466.7446971450181</v>
      </c>
      <c r="AB30" s="10">
        <f t="shared" si="4"/>
        <v>85.836949657383229</v>
      </c>
      <c r="AC30" s="10">
        <f>Assumptions!$E$16</f>
        <v>0.5</v>
      </c>
      <c r="AD30" s="10">
        <f t="shared" si="5"/>
        <v>3.5456978343494936</v>
      </c>
      <c r="AE30" s="10">
        <f t="shared" si="10"/>
        <v>3.5456978343494936</v>
      </c>
      <c r="AF30" s="10">
        <f>'PDB_woody perennials'!K437</f>
        <v>2.3793128386624236E-2</v>
      </c>
      <c r="AG30" s="80">
        <f>'PDB_woody perennials'!G437</f>
        <v>741.724508612352</v>
      </c>
      <c r="AH30" s="10">
        <f>'PDB_woody perennials'!J437</f>
        <v>1557.9172544415794</v>
      </c>
      <c r="AI30" s="10">
        <f t="shared" si="6"/>
        <v>91.172557296561308</v>
      </c>
      <c r="AJ30" s="10">
        <f>Assumptions!$E$16</f>
        <v>0.5</v>
      </c>
      <c r="AK30" s="10">
        <f t="shared" si="7"/>
        <v>3.977013995338885</v>
      </c>
      <c r="AL30" s="10">
        <f t="shared" si="11"/>
        <v>3.977013995338885</v>
      </c>
      <c r="AM30">
        <f t="shared" si="12"/>
        <v>3.1647749460292789</v>
      </c>
    </row>
    <row r="31" spans="1:39" x14ac:dyDescent="0.2">
      <c r="A31" s="516"/>
      <c r="B31" s="516"/>
      <c r="C31" s="516"/>
      <c r="D31" s="516"/>
      <c r="E31" s="518"/>
      <c r="F31" s="56" t="s">
        <v>306</v>
      </c>
      <c r="G31" s="10">
        <f>'PDB_woody perennials'!K25</f>
        <v>3.7684646269362187E-3</v>
      </c>
      <c r="H31" s="80">
        <f>'PDB_woody perennials'!G25</f>
        <v>223.2276912181473</v>
      </c>
      <c r="I31" s="10">
        <f>'PDB_woody perennials'!J25</f>
        <v>222.66424039425524</v>
      </c>
      <c r="J31" s="10">
        <f>Assumptions!$E$16</f>
        <v>0.5</v>
      </c>
      <c r="K31" s="10">
        <f>'PDB_woody perennials'!K129</f>
        <v>3.8979320021811652E-3</v>
      </c>
      <c r="L31" s="80">
        <f>'PDB_woody perennials'!G129</f>
        <v>219.4962548851006</v>
      </c>
      <c r="M31" s="10">
        <f>'PDB_woody perennials'!J129</f>
        <v>232.18748860452467</v>
      </c>
      <c r="N31" s="10">
        <f t="shared" si="0"/>
        <v>9.5232482102694291</v>
      </c>
      <c r="O31" s="10">
        <f>Assumptions!$E$16</f>
        <v>0.5</v>
      </c>
      <c r="P31" s="10">
        <f t="shared" si="1"/>
        <v>6.805511893312681E-2</v>
      </c>
      <c r="Q31" s="10">
        <f t="shared" si="8"/>
        <v>6.805511893312681E-2</v>
      </c>
      <c r="R31" s="10">
        <f>'PDB_woody perennials'!K232</f>
        <v>4.1162315338188144E-3</v>
      </c>
      <c r="S31" s="80">
        <f>'PDB_woody perennials'!G232</f>
        <v>223.51960782596802</v>
      </c>
      <c r="T31" s="10">
        <f>'PDB_woody perennials'!J232</f>
        <v>246.62021650157763</v>
      </c>
      <c r="U31" s="10">
        <f t="shared" si="2"/>
        <v>14.432727897052956</v>
      </c>
      <c r="V31" s="10">
        <f>Assumptions!$E$16</f>
        <v>0.5</v>
      </c>
      <c r="W31" s="10">
        <f t="shared" si="3"/>
        <v>0.10891549109627245</v>
      </c>
      <c r="X31" s="10">
        <f t="shared" si="9"/>
        <v>0.10891549109627245</v>
      </c>
      <c r="Y31" s="10">
        <f>'PDB_woody perennials'!K335</f>
        <v>4.3467566983014056E-3</v>
      </c>
      <c r="Z31" s="80">
        <f>'PDB_woody perennials'!G335</f>
        <v>227.61670858041549</v>
      </c>
      <c r="AA31" s="10">
        <f>'PDB_woody perennials'!J335</f>
        <v>261.95007988083205</v>
      </c>
      <c r="AB31" s="10">
        <f t="shared" si="4"/>
        <v>15.329863379254419</v>
      </c>
      <c r="AC31" s="10">
        <f>Assumptions!$E$16</f>
        <v>0.5</v>
      </c>
      <c r="AD31" s="10">
        <f t="shared" si="5"/>
        <v>0.12216450826766923</v>
      </c>
      <c r="AE31" s="10">
        <f t="shared" si="10"/>
        <v>0.12216450826766923</v>
      </c>
      <c r="AF31" s="10">
        <f>'PDB_woody perennials'!K438</f>
        <v>4.5901921791797378E-3</v>
      </c>
      <c r="AG31" s="80">
        <f>'PDB_woody perennials'!G438</f>
        <v>231.78890894135998</v>
      </c>
      <c r="AH31" s="10">
        <f>'PDB_woody perennials'!J438</f>
        <v>278.23284450460028</v>
      </c>
      <c r="AI31" s="10">
        <f t="shared" si="6"/>
        <v>16.28276462376823</v>
      </c>
      <c r="AJ31" s="10">
        <f>Assumptions!$E$16</f>
        <v>0.5</v>
      </c>
      <c r="AK31" s="10">
        <f t="shared" si="7"/>
        <v>0.1370252011909833</v>
      </c>
      <c r="AL31" s="10">
        <f t="shared" si="11"/>
        <v>0.1370252011909833</v>
      </c>
      <c r="AM31">
        <f t="shared" si="12"/>
        <v>0.10904007987201295</v>
      </c>
    </row>
    <row r="32" spans="1:39" x14ac:dyDescent="0.2">
      <c r="A32" s="516"/>
      <c r="B32" s="516"/>
      <c r="C32" s="516"/>
      <c r="D32" s="516"/>
      <c r="E32" s="518"/>
      <c r="F32" s="56" t="s">
        <v>307</v>
      </c>
      <c r="G32" s="10">
        <f>'PDB_woody perennials'!K26</f>
        <v>3.9848803872639442E-2</v>
      </c>
      <c r="H32" s="80">
        <f>'PDB_woody perennials'!G26</f>
        <v>2276.9224504251029</v>
      </c>
      <c r="I32" s="10">
        <f>'PDB_woody perennials'!J26</f>
        <v>2368.1294039108629</v>
      </c>
      <c r="J32" s="10">
        <f>Assumptions!$E$16</f>
        <v>0.5</v>
      </c>
      <c r="K32" s="10">
        <f>'PDB_woody perennials'!K130</f>
        <v>4.1217828277741959E-2</v>
      </c>
      <c r="L32" s="80">
        <f>'PDB_woody perennials'!G130</f>
        <v>2238.8617998280265</v>
      </c>
      <c r="M32" s="10">
        <f>'PDB_woody perennials'!J130</f>
        <v>2469.4132206007266</v>
      </c>
      <c r="N32" s="10">
        <f t="shared" si="0"/>
        <v>101.28381668986367</v>
      </c>
      <c r="O32" s="10">
        <f>Assumptions!$E$16</f>
        <v>0.5</v>
      </c>
      <c r="P32" s="10">
        <f t="shared" si="1"/>
        <v>7.6536147666680092</v>
      </c>
      <c r="Q32" s="10">
        <f t="shared" si="8"/>
        <v>7.6536147666680092</v>
      </c>
      <c r="R32" s="10">
        <f>'PDB_woody perennials'!K233</f>
        <v>4.3526188865642731E-2</v>
      </c>
      <c r="S32" s="80">
        <f>'PDB_woody perennials'!G233</f>
        <v>2279.8999998248742</v>
      </c>
      <c r="T32" s="10">
        <f>'PDB_woody perennials'!J233</f>
        <v>2622.9114529668186</v>
      </c>
      <c r="U32" s="10">
        <f t="shared" si="2"/>
        <v>153.498232366092</v>
      </c>
      <c r="V32" s="10">
        <f>Assumptions!$E$16</f>
        <v>0.5</v>
      </c>
      <c r="W32" s="10">
        <f t="shared" si="3"/>
        <v>12.248853929599528</v>
      </c>
      <c r="X32" s="10">
        <f t="shared" si="9"/>
        <v>12.248853929599528</v>
      </c>
      <c r="Y32" s="10">
        <f>'PDB_woody perennials'!K336</f>
        <v>4.5963826730547698E-2</v>
      </c>
      <c r="Z32" s="80">
        <f>'PDB_woody perennials'!G336</f>
        <v>2321.6904275202382</v>
      </c>
      <c r="AA32" s="10">
        <f>'PDB_woody perennials'!J336</f>
        <v>2785.9511047854912</v>
      </c>
      <c r="AB32" s="10">
        <f t="shared" si="4"/>
        <v>163.03965181867261</v>
      </c>
      <c r="AC32" s="10">
        <f>Assumptions!$E$16</f>
        <v>0.5</v>
      </c>
      <c r="AD32" s="10">
        <f t="shared" si="5"/>
        <v>13.73886489507087</v>
      </c>
      <c r="AE32" s="10">
        <f t="shared" si="10"/>
        <v>13.73886489507087</v>
      </c>
      <c r="AF32" s="10">
        <f>'PDB_woody perennials'!K439</f>
        <v>4.8537981908713446E-2</v>
      </c>
      <c r="AG32" s="80">
        <f>'PDB_woody perennials'!G439</f>
        <v>2364.2468712018717</v>
      </c>
      <c r="AH32" s="10">
        <f>'PDB_woody perennials'!J439</f>
        <v>2959.1252687834021</v>
      </c>
      <c r="AI32" s="10">
        <f t="shared" si="6"/>
        <v>173.17416399791091</v>
      </c>
      <c r="AJ32" s="10">
        <f>Assumptions!$E$16</f>
        <v>0.5</v>
      </c>
      <c r="AK32" s="10">
        <f t="shared" si="7"/>
        <v>15.410128138509821</v>
      </c>
      <c r="AL32" s="10">
        <f t="shared" si="11"/>
        <v>15.410128138509821</v>
      </c>
      <c r="AM32">
        <f t="shared" si="12"/>
        <v>12.262865432462057</v>
      </c>
    </row>
    <row r="33" spans="1:39" ht="26" x14ac:dyDescent="0.2">
      <c r="A33" s="75" t="s">
        <v>13</v>
      </c>
      <c r="B33" s="75"/>
      <c r="C33" s="75"/>
      <c r="D33" s="75" t="s">
        <v>34</v>
      </c>
      <c r="E33" s="486">
        <f>Assumptions!D65</f>
        <v>353.58800000000002</v>
      </c>
      <c r="F33" s="56" t="s">
        <v>323</v>
      </c>
      <c r="G33" s="10">
        <f>'PDB_woody perennials'!K27</f>
        <v>0</v>
      </c>
      <c r="H33" s="80">
        <f>'PDB_woody perennials'!G27</f>
        <v>0</v>
      </c>
      <c r="I33" s="10">
        <f>'PDB_woody perennials'!J27</f>
        <v>0</v>
      </c>
      <c r="J33" s="10">
        <f>Assumptions!$E$16</f>
        <v>0.5</v>
      </c>
      <c r="K33" s="10">
        <f>'PDB_woody perennials'!K131</f>
        <v>0</v>
      </c>
      <c r="L33" s="80">
        <f>'PDB_woody perennials'!G131</f>
        <v>0</v>
      </c>
      <c r="M33" s="10">
        <f>'PDB_woody perennials'!J131</f>
        <v>0</v>
      </c>
      <c r="N33" s="10">
        <f t="shared" si="0"/>
        <v>0</v>
      </c>
      <c r="O33" s="10">
        <f>Assumptions!$E$16</f>
        <v>0.5</v>
      </c>
      <c r="P33" s="10">
        <f t="shared" si="1"/>
        <v>0</v>
      </c>
      <c r="Q33" s="10">
        <f t="shared" si="8"/>
        <v>0</v>
      </c>
      <c r="R33" s="10">
        <f>'PDB_woody perennials'!K234</f>
        <v>0</v>
      </c>
      <c r="S33" s="80">
        <f>'PDB_woody perennials'!G234</f>
        <v>0</v>
      </c>
      <c r="T33" s="10">
        <f>'PDB_woody perennials'!J234</f>
        <v>0</v>
      </c>
      <c r="U33" s="10">
        <f t="shared" si="2"/>
        <v>0</v>
      </c>
      <c r="V33" s="10">
        <f>Assumptions!$E$16</f>
        <v>0.5</v>
      </c>
      <c r="W33" s="10">
        <f t="shared" si="3"/>
        <v>0</v>
      </c>
      <c r="X33" s="10">
        <f t="shared" si="9"/>
        <v>0</v>
      </c>
      <c r="Y33" s="10">
        <f>'PDB_woody perennials'!K337</f>
        <v>0</v>
      </c>
      <c r="Z33" s="80">
        <f>'PDB_woody perennials'!G337</f>
        <v>0</v>
      </c>
      <c r="AA33" s="10">
        <f>'PDB_woody perennials'!J337</f>
        <v>0</v>
      </c>
      <c r="AB33" s="10">
        <f t="shared" si="4"/>
        <v>0</v>
      </c>
      <c r="AC33" s="10">
        <f>Assumptions!$E$16</f>
        <v>0.5</v>
      </c>
      <c r="AD33" s="10">
        <f t="shared" si="5"/>
        <v>0</v>
      </c>
      <c r="AE33" s="10">
        <f t="shared" si="10"/>
        <v>0</v>
      </c>
      <c r="AF33" s="10">
        <f>'PDB_woody perennials'!K440</f>
        <v>0</v>
      </c>
      <c r="AG33" s="80">
        <f>'PDB_woody perennials'!G440</f>
        <v>0</v>
      </c>
      <c r="AH33" s="10">
        <f>'PDB_woody perennials'!J440</f>
        <v>0</v>
      </c>
      <c r="AI33" s="10">
        <f t="shared" si="6"/>
        <v>0</v>
      </c>
      <c r="AJ33" s="10">
        <f>Assumptions!$E$16</f>
        <v>0.5</v>
      </c>
      <c r="AK33" s="10">
        <f t="shared" si="7"/>
        <v>0</v>
      </c>
      <c r="AL33" s="10">
        <f t="shared" si="11"/>
        <v>0</v>
      </c>
      <c r="AM33">
        <f t="shared" si="12"/>
        <v>0</v>
      </c>
    </row>
    <row r="34" spans="1:39" x14ac:dyDescent="0.2">
      <c r="A34" s="582" t="s">
        <v>14</v>
      </c>
      <c r="B34" s="582"/>
      <c r="C34" s="582"/>
      <c r="D34" s="582" t="s">
        <v>35</v>
      </c>
      <c r="E34" s="583">
        <f>Assumptions!D66</f>
        <v>4915.7929999999997</v>
      </c>
      <c r="F34" s="55" t="s">
        <v>178</v>
      </c>
      <c r="G34" s="10">
        <f>'PDB_woody perennials'!K28</f>
        <v>3.4916141128637772E-2</v>
      </c>
      <c r="H34" s="80">
        <f>'PDB_woody perennials'!G28</f>
        <v>803.61968838533028</v>
      </c>
      <c r="I34" s="10">
        <f>'PDB_woody perennials'!J28</f>
        <v>2399.9476028166791</v>
      </c>
      <c r="J34" s="10">
        <f>Assumptions!$E$16</f>
        <v>0.5</v>
      </c>
      <c r="K34" s="10">
        <f>'PDB_woody perennials'!K132</f>
        <v>3.6115701584451862E-2</v>
      </c>
      <c r="L34" s="80">
        <f>'PDB_woody perennials'!G132</f>
        <v>790.18651758636213</v>
      </c>
      <c r="M34" s="10">
        <f>'PDB_woody perennials'!J132</f>
        <v>2502.5922693908678</v>
      </c>
      <c r="N34" s="10">
        <f t="shared" si="0"/>
        <v>102.6446665741887</v>
      </c>
      <c r="O34" s="10">
        <f>Assumptions!$E$16</f>
        <v>0.5</v>
      </c>
      <c r="P34" s="10">
        <f t="shared" si="1"/>
        <v>6.7963209365864268</v>
      </c>
      <c r="Q34" s="10">
        <f t="shared" si="8"/>
        <v>6.7963209365864268</v>
      </c>
      <c r="R34" s="10">
        <f>'PDB_woody perennials'!K235</f>
        <v>3.8138322999150549E-2</v>
      </c>
      <c r="S34" s="80">
        <f>'PDB_woody perennials'!G235</f>
        <v>804.67058817348482</v>
      </c>
      <c r="T34" s="10">
        <f>'PDB_woody perennials'!J235</f>
        <v>2658.1529048000743</v>
      </c>
      <c r="U34" s="10">
        <f t="shared" si="2"/>
        <v>155.5606354092065</v>
      </c>
      <c r="V34" s="10">
        <f>Assumptions!$E$16</f>
        <v>0.5</v>
      </c>
      <c r="W34" s="10">
        <f t="shared" si="3"/>
        <v>10.876839891847256</v>
      </c>
      <c r="X34" s="10">
        <f t="shared" si="9"/>
        <v>10.876839891847256</v>
      </c>
      <c r="Y34" s="10">
        <f>'PDB_woody perennials'!K338</f>
        <v>4.0274219172685956E-2</v>
      </c>
      <c r="Z34" s="80">
        <f>'PDB_woody perennials'!G338</f>
        <v>819.42015088949574</v>
      </c>
      <c r="AA34" s="10">
        <f>'PDB_woody perennials'!J338</f>
        <v>2823.3831582229232</v>
      </c>
      <c r="AB34" s="10">
        <f t="shared" si="4"/>
        <v>165.23025342284882</v>
      </c>
      <c r="AC34" s="10">
        <f>Assumptions!$E$16</f>
        <v>0.5</v>
      </c>
      <c r="AD34" s="10">
        <f t="shared" si="5"/>
        <v>12.199952307235471</v>
      </c>
      <c r="AE34" s="10">
        <f t="shared" si="10"/>
        <v>12.199952307235471</v>
      </c>
      <c r="AF34" s="10">
        <f>'PDB_woody perennials'!K441</f>
        <v>4.2529733937322629E-2</v>
      </c>
      <c r="AG34" s="80">
        <f>'PDB_woody perennials'!G441</f>
        <v>834.4400721888959</v>
      </c>
      <c r="AH34" s="10">
        <f>'PDB_woody perennials'!J441</f>
        <v>2998.8840911830093</v>
      </c>
      <c r="AI34" s="10">
        <f t="shared" si="6"/>
        <v>175.50093296008617</v>
      </c>
      <c r="AJ34" s="10">
        <f>Assumptions!$E$16</f>
        <v>0.5</v>
      </c>
      <c r="AK34" s="10">
        <f t="shared" si="7"/>
        <v>13.684014638331327</v>
      </c>
      <c r="AL34" s="10">
        <f t="shared" si="11"/>
        <v>13.684014638331327</v>
      </c>
      <c r="AM34">
        <f t="shared" si="12"/>
        <v>10.889281943500119</v>
      </c>
    </row>
    <row r="35" spans="1:39" x14ac:dyDescent="0.2">
      <c r="A35" s="516"/>
      <c r="B35" s="516"/>
      <c r="C35" s="516"/>
      <c r="D35" s="516"/>
      <c r="E35" s="518"/>
      <c r="F35" s="55" t="s">
        <v>179</v>
      </c>
      <c r="G35" s="10">
        <f>'PDB_woody perennials'!K29</f>
        <v>1.6817941310293873E-2</v>
      </c>
      <c r="H35" s="80">
        <f>'PDB_woody perennials'!G29</f>
        <v>535.74645892355352</v>
      </c>
      <c r="I35" s="10">
        <f>'PDB_woody perennials'!J29</f>
        <v>1097.3935635156047</v>
      </c>
      <c r="J35" s="10">
        <f>Assumptions!$E$16</f>
        <v>0.5</v>
      </c>
      <c r="K35" s="10">
        <f>'PDB_woody perennials'!K133</f>
        <v>1.7395729596510996E-2</v>
      </c>
      <c r="L35" s="80">
        <f>'PDB_woody perennials'!G133</f>
        <v>526.79101172424146</v>
      </c>
      <c r="M35" s="10">
        <f>'PDB_woody perennials'!J133</f>
        <v>1144.3285867200777</v>
      </c>
      <c r="N35" s="10">
        <f t="shared" si="0"/>
        <v>46.935023204473055</v>
      </c>
      <c r="O35" s="10">
        <f>Assumptions!$E$16</f>
        <v>0.5</v>
      </c>
      <c r="P35" s="10">
        <f t="shared" si="1"/>
        <v>1.4968597824968006</v>
      </c>
      <c r="Q35" s="10">
        <f t="shared" si="8"/>
        <v>1.4968597824968006</v>
      </c>
      <c r="R35" s="10">
        <f>'PDB_woody perennials'!K236</f>
        <v>1.8369958911257533E-2</v>
      </c>
      <c r="S35" s="80">
        <f>'PDB_woody perennials'!G236</f>
        <v>536.44705878232332</v>
      </c>
      <c r="T35" s="10">
        <f>'PDB_woody perennials'!J236</f>
        <v>1215.4598230162796</v>
      </c>
      <c r="U35" s="10">
        <f t="shared" si="2"/>
        <v>71.131236296201905</v>
      </c>
      <c r="V35" s="10">
        <f>Assumptions!$E$16</f>
        <v>0.5</v>
      </c>
      <c r="W35" s="10">
        <f t="shared" si="3"/>
        <v>2.3955761281249957</v>
      </c>
      <c r="X35" s="10">
        <f t="shared" si="9"/>
        <v>2.3955761281249957</v>
      </c>
      <c r="Y35" s="10">
        <f>'PDB_woody perennials'!K339</f>
        <v>1.9398748901510415E-2</v>
      </c>
      <c r="Z35" s="80">
        <f>'PDB_woody perennials'!G339</f>
        <v>546.28010059299731</v>
      </c>
      <c r="AA35" s="10">
        <f>'PDB_woody perennials'!J339</f>
        <v>1291.0125627475466</v>
      </c>
      <c r="AB35" s="10">
        <f t="shared" si="4"/>
        <v>75.552739731266911</v>
      </c>
      <c r="AC35" s="10">
        <f>Assumptions!$E$16</f>
        <v>0.5</v>
      </c>
      <c r="AD35" s="10">
        <f t="shared" si="5"/>
        <v>2.6869858159246967</v>
      </c>
      <c r="AE35" s="10">
        <f t="shared" si="10"/>
        <v>2.6869858159246967</v>
      </c>
      <c r="AF35" s="10">
        <f>'PDB_woody perennials'!K442</f>
        <v>2.0485155179810408E-2</v>
      </c>
      <c r="AG35" s="80">
        <f>'PDB_woody perennials'!G442</f>
        <v>556.29338145926408</v>
      </c>
      <c r="AH35" s="10">
        <f>'PDB_woody perennials'!J442</f>
        <v>1371.2616456839182</v>
      </c>
      <c r="AI35" s="10">
        <f t="shared" si="6"/>
        <v>80.249082936371678</v>
      </c>
      <c r="AJ35" s="10">
        <f>Assumptions!$E$16</f>
        <v>0.5</v>
      </c>
      <c r="AK35" s="10">
        <f t="shared" si="7"/>
        <v>3.0138440144799237</v>
      </c>
      <c r="AL35" s="10">
        <f t="shared" si="11"/>
        <v>3.0138440144799237</v>
      </c>
      <c r="AM35">
        <f t="shared" si="12"/>
        <v>2.3983164352566044</v>
      </c>
    </row>
    <row r="36" spans="1:39" x14ac:dyDescent="0.2">
      <c r="A36" s="516"/>
      <c r="B36" s="516"/>
      <c r="C36" s="516"/>
      <c r="D36" s="516"/>
      <c r="E36" s="518"/>
      <c r="F36" s="55" t="s">
        <v>175</v>
      </c>
      <c r="G36" s="10">
        <f>'PDB_woody perennials'!K30</f>
        <v>1.1959424931764539E-2</v>
      </c>
      <c r="H36" s="80">
        <f>'PDB_woody perennials'!G30</f>
        <v>1339.3661473088841</v>
      </c>
      <c r="I36" s="10">
        <f>'PDB_woody perennials'!J30</f>
        <v>638.17452839236478</v>
      </c>
      <c r="J36" s="10">
        <f>Assumptions!$E$16</f>
        <v>0.5</v>
      </c>
      <c r="K36" s="10">
        <f>'PDB_woody perennials'!K134</f>
        <v>1.2370296601963373E-2</v>
      </c>
      <c r="L36" s="80">
        <f>'PDB_woody perennials'!G134</f>
        <v>1316.9775293106038</v>
      </c>
      <c r="M36" s="10">
        <f>'PDB_woody perennials'!J134</f>
        <v>665.46896249004988</v>
      </c>
      <c r="N36" s="10">
        <f t="shared" si="0"/>
        <v>27.294434097685098</v>
      </c>
      <c r="O36" s="10">
        <f>Assumptions!$E$16</f>
        <v>0.5</v>
      </c>
      <c r="P36" s="10">
        <f t="shared" si="1"/>
        <v>0.61900711651369655</v>
      </c>
      <c r="Q36" s="10">
        <f t="shared" si="8"/>
        <v>0.61900711651369655</v>
      </c>
      <c r="R36" s="10">
        <f>'PDB_woody perennials'!K237</f>
        <v>1.3063081892449799E-2</v>
      </c>
      <c r="S36" s="80">
        <f>'PDB_woody perennials'!G237</f>
        <v>1341.1176469558084</v>
      </c>
      <c r="T36" s="10">
        <f>'PDB_woody perennials'!J237</f>
        <v>706.83438022757628</v>
      </c>
      <c r="U36" s="10">
        <f t="shared" si="2"/>
        <v>41.3654177375264</v>
      </c>
      <c r="V36" s="10">
        <f>Assumptions!$E$16</f>
        <v>0.5</v>
      </c>
      <c r="W36" s="10">
        <f t="shared" si="3"/>
        <v>0.99065970560462191</v>
      </c>
      <c r="X36" s="10">
        <f t="shared" si="9"/>
        <v>0.99065970560462191</v>
      </c>
      <c r="Y36" s="10">
        <f>'PDB_woody perennials'!K340</f>
        <v>1.3794665885518519E-2</v>
      </c>
      <c r="Z36" s="80">
        <f>'PDB_woody perennials'!G340</f>
        <v>1365.7002514824933</v>
      </c>
      <c r="AA36" s="10">
        <f>'PDB_woody perennials'!J340</f>
        <v>750.77106406622295</v>
      </c>
      <c r="AB36" s="10">
        <f t="shared" si="4"/>
        <v>43.936683838646672</v>
      </c>
      <c r="AC36" s="10">
        <f>Assumptions!$E$16</f>
        <v>0.5</v>
      </c>
      <c r="AD36" s="10">
        <f t="shared" si="5"/>
        <v>1.111168435064952</v>
      </c>
      <c r="AE36" s="10">
        <f t="shared" si="10"/>
        <v>1.111168435064952</v>
      </c>
      <c r="AF36" s="10">
        <f>'PDB_woody perennials'!K443</f>
        <v>1.4567221461198517E-2</v>
      </c>
      <c r="AG36" s="80">
        <f>'PDB_woody perennials'!G443</f>
        <v>1390.7334536481601</v>
      </c>
      <c r="AH36" s="10">
        <f>'PDB_woody perennials'!J443</f>
        <v>797.43884339306112</v>
      </c>
      <c r="AI36" s="10">
        <f t="shared" si="6"/>
        <v>46.667779326838172</v>
      </c>
      <c r="AJ36" s="10">
        <f>Assumptions!$E$16</f>
        <v>0.5</v>
      </c>
      <c r="AK36" s="10">
        <f t="shared" si="7"/>
        <v>1.2463364403533881</v>
      </c>
      <c r="AL36" s="10">
        <f t="shared" si="11"/>
        <v>1.2463364403533881</v>
      </c>
      <c r="AM36">
        <f t="shared" si="12"/>
        <v>0.99179292438416455</v>
      </c>
    </row>
    <row r="37" spans="1:39" x14ac:dyDescent="0.2">
      <c r="A37" s="516"/>
      <c r="B37" s="516"/>
      <c r="C37" s="516"/>
      <c r="D37" s="516"/>
      <c r="E37" s="518"/>
      <c r="F37" s="55" t="s">
        <v>180</v>
      </c>
      <c r="G37" s="10">
        <f>'PDB_woody perennials'!K31</f>
        <v>4.9830937215685541E-3</v>
      </c>
      <c r="H37" s="80">
        <f>'PDB_woody perennials'!G31</f>
        <v>89.29107648725892</v>
      </c>
      <c r="I37" s="10">
        <f>'PDB_woody perennials'!J31</f>
        <v>356.5077926050231</v>
      </c>
      <c r="J37" s="10">
        <f>Assumptions!$E$16</f>
        <v>0.5</v>
      </c>
      <c r="K37" s="10">
        <f>'PDB_woody perennials'!K135</f>
        <v>5.1542902508180692E-3</v>
      </c>
      <c r="L37" s="80">
        <f>'PDB_woody perennials'!G135</f>
        <v>87.798501954040233</v>
      </c>
      <c r="M37" s="10">
        <f>'PDB_woody perennials'!J135</f>
        <v>371.75546862098901</v>
      </c>
      <c r="N37" s="10">
        <f t="shared" si="0"/>
        <v>15.247676015965908</v>
      </c>
      <c r="O37" s="10">
        <f>Assumptions!$E$16</f>
        <v>0.5</v>
      </c>
      <c r="P37" s="10">
        <f t="shared" si="1"/>
        <v>0.14408340436733022</v>
      </c>
      <c r="Q37" s="10">
        <f t="shared" si="8"/>
        <v>0.14408340436733022</v>
      </c>
      <c r="R37" s="10">
        <f>'PDB_woody perennials'!K238</f>
        <v>5.4429507885207472E-3</v>
      </c>
      <c r="S37" s="80">
        <f>'PDB_woody perennials'!G238</f>
        <v>89.407843130387207</v>
      </c>
      <c r="T37" s="10">
        <f>'PDB_woody perennials'!J238</f>
        <v>394.86371426805266</v>
      </c>
      <c r="U37" s="10">
        <f t="shared" si="2"/>
        <v>23.108245647063654</v>
      </c>
      <c r="V37" s="10">
        <f>Assumptions!$E$16</f>
        <v>0.5</v>
      </c>
      <c r="W37" s="10">
        <f t="shared" si="3"/>
        <v>0.23059124708769643</v>
      </c>
      <c r="X37" s="10">
        <f t="shared" si="9"/>
        <v>0.23059124708769643</v>
      </c>
      <c r="Y37" s="10">
        <f>'PDB_woody perennials'!K341</f>
        <v>5.747777452299381E-3</v>
      </c>
      <c r="Z37" s="80">
        <f>'PDB_woody perennials'!G341</f>
        <v>91.046683432166205</v>
      </c>
      <c r="AA37" s="10">
        <f>'PDB_woody perennials'!J341</f>
        <v>419.40836384715755</v>
      </c>
      <c r="AB37" s="10">
        <f t="shared" si="4"/>
        <v>24.544649579104885</v>
      </c>
      <c r="AC37" s="10">
        <f>Assumptions!$E$16</f>
        <v>0.5</v>
      </c>
      <c r="AD37" s="10">
        <f t="shared" si="5"/>
        <v>0.25864150294650901</v>
      </c>
      <c r="AE37" s="10">
        <f t="shared" si="10"/>
        <v>0.25864150294650901</v>
      </c>
      <c r="AF37" s="10">
        <f>'PDB_woody perennials'!K444</f>
        <v>6.0696756088327135E-3</v>
      </c>
      <c r="AG37" s="80">
        <f>'PDB_woody perennials'!G444</f>
        <v>92.715563576544</v>
      </c>
      <c r="AH37" s="10">
        <f>'PDB_woody perennials'!J444</f>
        <v>445.47870393970402</v>
      </c>
      <c r="AI37" s="10">
        <f t="shared" si="6"/>
        <v>26.070340092546473</v>
      </c>
      <c r="AJ37" s="10">
        <f>Assumptions!$E$16</f>
        <v>0.5</v>
      </c>
      <c r="AK37" s="10">
        <f t="shared" si="7"/>
        <v>0.29010393018512198</v>
      </c>
      <c r="AL37" s="10">
        <f t="shared" si="11"/>
        <v>0.29010393018512198</v>
      </c>
      <c r="AM37">
        <f t="shared" si="12"/>
        <v>0.2308550211466644</v>
      </c>
    </row>
    <row r="38" spans="1:39" x14ac:dyDescent="0.2">
      <c r="A38" s="516"/>
      <c r="B38" s="516"/>
      <c r="C38" s="516"/>
      <c r="D38" s="516"/>
      <c r="E38" s="518"/>
      <c r="F38" s="55" t="s">
        <v>181</v>
      </c>
      <c r="G38" s="10">
        <f>'PDB_woody perennials'!K32</f>
        <v>1.2756719927215504E-2</v>
      </c>
      <c r="H38" s="80">
        <f>'PDB_woody perennials'!G32</f>
        <v>89.29107648725892</v>
      </c>
      <c r="I38" s="10">
        <f>'PDB_woody perennials'!J32</f>
        <v>1060.7850414184006</v>
      </c>
      <c r="J38" s="10">
        <f>Assumptions!$E$16</f>
        <v>0.5</v>
      </c>
      <c r="K38" s="10">
        <f>'PDB_woody perennials'!K136</f>
        <v>1.3194983042094261E-2</v>
      </c>
      <c r="L38" s="80">
        <f>'PDB_woody perennials'!G136</f>
        <v>87.798501954040233</v>
      </c>
      <c r="M38" s="10">
        <f>'PDB_woody perennials'!J136</f>
        <v>1106.1543347960924</v>
      </c>
      <c r="N38" s="10">
        <f t="shared" si="0"/>
        <v>45.369293377691747</v>
      </c>
      <c r="O38" s="10">
        <f>Assumptions!$E$16</f>
        <v>0.5</v>
      </c>
      <c r="P38" s="10">
        <f t="shared" si="1"/>
        <v>1.0975196040424771</v>
      </c>
      <c r="Q38" s="10">
        <f t="shared" si="8"/>
        <v>1.0975196040424771</v>
      </c>
      <c r="R38" s="10">
        <f>'PDB_woody perennials'!K239</f>
        <v>1.3933954018613116E-2</v>
      </c>
      <c r="S38" s="80">
        <f>'PDB_woody perennials'!G239</f>
        <v>89.407843130387207</v>
      </c>
      <c r="T38" s="10">
        <f>'PDB_woody perennials'!J239</f>
        <v>1174.9126672204975</v>
      </c>
      <c r="U38" s="10">
        <f t="shared" si="2"/>
        <v>68.758332424405125</v>
      </c>
      <c r="V38" s="10">
        <f>Assumptions!$E$16</f>
        <v>0.5</v>
      </c>
      <c r="W38" s="10">
        <f t="shared" si="3"/>
        <v>1.7564716443966566</v>
      </c>
      <c r="X38" s="10">
        <f t="shared" si="9"/>
        <v>1.7564716443966566</v>
      </c>
      <c r="Y38" s="10">
        <f>'PDB_woody perennials'!K342</f>
        <v>1.4714310277886418E-2</v>
      </c>
      <c r="Z38" s="80">
        <f>'PDB_woody perennials'!G342</f>
        <v>91.046683432166205</v>
      </c>
      <c r="AA38" s="10">
        <f>'PDB_woody perennials'!J342</f>
        <v>1247.945003849439</v>
      </c>
      <c r="AB38" s="10">
        <f t="shared" si="4"/>
        <v>73.032336628941493</v>
      </c>
      <c r="AC38" s="10">
        <f>Assumptions!$E$16</f>
        <v>0.5</v>
      </c>
      <c r="AD38" s="10">
        <f t="shared" si="5"/>
        <v>1.9701375127083731</v>
      </c>
      <c r="AE38" s="10">
        <f t="shared" si="10"/>
        <v>1.9701375127083731</v>
      </c>
      <c r="AF38" s="10">
        <f>'PDB_woody perennials'!K445</f>
        <v>1.553836955861175E-2</v>
      </c>
      <c r="AG38" s="80">
        <f>'PDB_woody perennials'!G445</f>
        <v>92.715563576544</v>
      </c>
      <c r="AH38" s="10">
        <f>'PDB_woody perennials'!J445</f>
        <v>1325.51701593026</v>
      </c>
      <c r="AI38" s="10">
        <f t="shared" si="6"/>
        <v>77.572012080820969</v>
      </c>
      <c r="AJ38" s="10">
        <f>Assumptions!$E$16</f>
        <v>0.5</v>
      </c>
      <c r="AK38" s="10">
        <f t="shared" si="7"/>
        <v>2.2097947503809681</v>
      </c>
      <c r="AL38" s="10">
        <f t="shared" si="11"/>
        <v>2.2097947503809681</v>
      </c>
      <c r="AM38">
        <f t="shared" si="12"/>
        <v>1.7584808778821186</v>
      </c>
    </row>
    <row r="39" spans="1:39" ht="26" x14ac:dyDescent="0.2">
      <c r="A39" s="75" t="s">
        <v>15</v>
      </c>
      <c r="B39" s="75"/>
      <c r="C39" s="75"/>
      <c r="D39" s="75" t="s">
        <v>34</v>
      </c>
      <c r="E39" s="486">
        <f>Assumptions!D67</f>
        <v>2549.9479999999994</v>
      </c>
      <c r="F39" s="56" t="s">
        <v>323</v>
      </c>
      <c r="G39" s="10">
        <f>'PDB_woody perennials'!K33</f>
        <v>0</v>
      </c>
      <c r="H39" s="80">
        <f>'PDB_woody perennials'!G33</f>
        <v>0</v>
      </c>
      <c r="I39" s="10">
        <f>'PDB_woody perennials'!J33</f>
        <v>0</v>
      </c>
      <c r="J39" s="10">
        <f>Assumptions!$E$16</f>
        <v>0.5</v>
      </c>
      <c r="K39" s="10">
        <f>'PDB_woody perennials'!K137</f>
        <v>0</v>
      </c>
      <c r="L39" s="80">
        <f>'PDB_woody perennials'!G137</f>
        <v>0</v>
      </c>
      <c r="M39" s="10">
        <f>'PDB_woody perennials'!J137</f>
        <v>0</v>
      </c>
      <c r="N39" s="10">
        <f t="shared" si="0"/>
        <v>0</v>
      </c>
      <c r="O39" s="10">
        <f>Assumptions!$E$16</f>
        <v>0.5</v>
      </c>
      <c r="P39" s="10">
        <f t="shared" si="1"/>
        <v>0</v>
      </c>
      <c r="Q39" s="10">
        <f t="shared" si="8"/>
        <v>0</v>
      </c>
      <c r="R39" s="10">
        <f>'PDB_woody perennials'!K240</f>
        <v>0</v>
      </c>
      <c r="S39" s="80">
        <f>'PDB_woody perennials'!G240</f>
        <v>0</v>
      </c>
      <c r="T39" s="10">
        <f>'PDB_woody perennials'!J240</f>
        <v>0</v>
      </c>
      <c r="U39" s="10">
        <f t="shared" si="2"/>
        <v>0</v>
      </c>
      <c r="V39" s="10">
        <f>Assumptions!$E$16</f>
        <v>0.5</v>
      </c>
      <c r="W39" s="10">
        <f t="shared" si="3"/>
        <v>0</v>
      </c>
      <c r="X39" s="10">
        <f t="shared" si="9"/>
        <v>0</v>
      </c>
      <c r="Y39" s="10">
        <f>'PDB_woody perennials'!K343</f>
        <v>0</v>
      </c>
      <c r="Z39" s="80">
        <f>'PDB_woody perennials'!G343</f>
        <v>0</v>
      </c>
      <c r="AA39" s="10">
        <f>'PDB_woody perennials'!J343</f>
        <v>0</v>
      </c>
      <c r="AB39" s="10">
        <f t="shared" si="4"/>
        <v>0</v>
      </c>
      <c r="AC39" s="10">
        <f>Assumptions!$E$16</f>
        <v>0.5</v>
      </c>
      <c r="AD39" s="10">
        <f t="shared" si="5"/>
        <v>0</v>
      </c>
      <c r="AE39" s="10">
        <f t="shared" si="10"/>
        <v>0</v>
      </c>
      <c r="AF39" s="10">
        <f>'PDB_woody perennials'!K446</f>
        <v>0</v>
      </c>
      <c r="AG39" s="80">
        <f>'PDB_woody perennials'!G446</f>
        <v>0</v>
      </c>
      <c r="AH39" s="10">
        <f>'PDB_woody perennials'!J446</f>
        <v>0</v>
      </c>
      <c r="AI39" s="10">
        <f t="shared" si="6"/>
        <v>0</v>
      </c>
      <c r="AJ39" s="10">
        <f>Assumptions!$E$16</f>
        <v>0.5</v>
      </c>
      <c r="AK39" s="10">
        <f t="shared" si="7"/>
        <v>0</v>
      </c>
      <c r="AL39" s="10">
        <f t="shared" si="11"/>
        <v>0</v>
      </c>
      <c r="AM39">
        <f t="shared" si="12"/>
        <v>0</v>
      </c>
    </row>
    <row r="40" spans="1:39" x14ac:dyDescent="0.2">
      <c r="A40" s="75" t="s">
        <v>16</v>
      </c>
      <c r="B40" s="75"/>
      <c r="C40" s="75"/>
      <c r="D40" s="75" t="s">
        <v>36</v>
      </c>
      <c r="E40" s="486">
        <f>Assumptions!D68</f>
        <v>741.26900000000001</v>
      </c>
      <c r="F40" s="56" t="s">
        <v>323</v>
      </c>
      <c r="G40" s="10">
        <f>'PDB_woody perennials'!K34</f>
        <v>0</v>
      </c>
      <c r="H40" s="80">
        <f>'PDB_woody perennials'!G34</f>
        <v>0</v>
      </c>
      <c r="I40" s="10">
        <f>'PDB_woody perennials'!J34</f>
        <v>0</v>
      </c>
      <c r="J40" s="10">
        <f>Assumptions!$E$16</f>
        <v>0.5</v>
      </c>
      <c r="K40" s="10">
        <f>'PDB_woody perennials'!K138</f>
        <v>0</v>
      </c>
      <c r="L40" s="80">
        <f>'PDB_woody perennials'!G138</f>
        <v>0</v>
      </c>
      <c r="M40" s="10">
        <f>'PDB_woody perennials'!J138</f>
        <v>0</v>
      </c>
      <c r="N40" s="10">
        <f t="shared" si="0"/>
        <v>0</v>
      </c>
      <c r="O40" s="10">
        <f>Assumptions!$E$16</f>
        <v>0.5</v>
      </c>
      <c r="P40" s="10">
        <f t="shared" si="1"/>
        <v>0</v>
      </c>
      <c r="Q40" s="10">
        <f t="shared" si="8"/>
        <v>0</v>
      </c>
      <c r="R40" s="10">
        <f>'PDB_woody perennials'!K241</f>
        <v>0</v>
      </c>
      <c r="S40" s="80">
        <f>'PDB_woody perennials'!G241</f>
        <v>0</v>
      </c>
      <c r="T40" s="10">
        <f>'PDB_woody perennials'!J241</f>
        <v>0</v>
      </c>
      <c r="U40" s="10">
        <f t="shared" si="2"/>
        <v>0</v>
      </c>
      <c r="V40" s="10">
        <f>Assumptions!$E$16</f>
        <v>0.5</v>
      </c>
      <c r="W40" s="10">
        <f t="shared" si="3"/>
        <v>0</v>
      </c>
      <c r="X40" s="10">
        <f t="shared" si="9"/>
        <v>0</v>
      </c>
      <c r="Y40" s="10">
        <f>'PDB_woody perennials'!K344</f>
        <v>0</v>
      </c>
      <c r="Z40" s="80">
        <f>'PDB_woody perennials'!G344</f>
        <v>0</v>
      </c>
      <c r="AA40" s="10">
        <f>'PDB_woody perennials'!J344</f>
        <v>0</v>
      </c>
      <c r="AB40" s="10">
        <f t="shared" si="4"/>
        <v>0</v>
      </c>
      <c r="AC40" s="10">
        <f>Assumptions!$E$16</f>
        <v>0.5</v>
      </c>
      <c r="AD40" s="10">
        <f t="shared" si="5"/>
        <v>0</v>
      </c>
      <c r="AE40" s="10">
        <f t="shared" si="10"/>
        <v>0</v>
      </c>
      <c r="AF40" s="10">
        <f>'PDB_woody perennials'!K447</f>
        <v>0</v>
      </c>
      <c r="AG40" s="80">
        <f>'PDB_woody perennials'!G447</f>
        <v>0</v>
      </c>
      <c r="AH40" s="10">
        <f>'PDB_woody perennials'!J447</f>
        <v>0</v>
      </c>
      <c r="AI40" s="10">
        <f t="shared" si="6"/>
        <v>0</v>
      </c>
      <c r="AJ40" s="10">
        <f>Assumptions!$E$16</f>
        <v>0.5</v>
      </c>
      <c r="AK40" s="10">
        <f t="shared" si="7"/>
        <v>0</v>
      </c>
      <c r="AL40" s="10">
        <f t="shared" si="11"/>
        <v>0</v>
      </c>
      <c r="AM40">
        <f t="shared" si="12"/>
        <v>0</v>
      </c>
    </row>
    <row r="41" spans="1:39" x14ac:dyDescent="0.2">
      <c r="A41" s="582" t="s">
        <v>17</v>
      </c>
      <c r="B41" s="582"/>
      <c r="C41" s="582"/>
      <c r="D41" s="582" t="s">
        <v>35</v>
      </c>
      <c r="E41" s="583">
        <f>Assumptions!D69</f>
        <v>8643.7000000000025</v>
      </c>
      <c r="F41" s="55" t="s">
        <v>173</v>
      </c>
      <c r="G41" s="10">
        <f>'PDB_woody perennials'!K35</f>
        <v>8.2007485246385348E-3</v>
      </c>
      <c r="H41" s="80">
        <f>'PDB_woody perennials'!G35</f>
        <v>312.51876770540628</v>
      </c>
      <c r="I41" s="10">
        <f>'PDB_woody perennials'!J35</f>
        <v>519.98317251419348</v>
      </c>
      <c r="J41" s="10">
        <f>Assumptions!$E$16</f>
        <v>0.5</v>
      </c>
      <c r="K41" s="10">
        <f>'PDB_woody perennials'!K139</f>
        <v>8.4824890984891658E-3</v>
      </c>
      <c r="L41" s="80">
        <f>'PDB_woody perennials'!G139</f>
        <v>307.29475683914086</v>
      </c>
      <c r="M41" s="10">
        <f>'PDB_woody perennials'!J139</f>
        <v>542.22261611882448</v>
      </c>
      <c r="N41" s="10">
        <f t="shared" ref="N41:N72" si="13">M41-I41</f>
        <v>22.239443604630992</v>
      </c>
      <c r="O41" s="10">
        <f>Assumptions!$E$16</f>
        <v>0.5</v>
      </c>
      <c r="P41" s="10">
        <f t="shared" si="1"/>
        <v>0.34585070287670278</v>
      </c>
      <c r="Q41" s="10">
        <f t="shared" si="8"/>
        <v>0.34585070287670278</v>
      </c>
      <c r="R41" s="10">
        <f>'PDB_woody perennials'!K242</f>
        <v>8.9575418691084305E-3</v>
      </c>
      <c r="S41" s="80">
        <f>'PDB_woody perennials'!G242</f>
        <v>312.92745095635524</v>
      </c>
      <c r="T41" s="10">
        <f>'PDB_woody perennials'!J242</f>
        <v>575.92706559241537</v>
      </c>
      <c r="U41" s="10">
        <f t="shared" ref="U41:U72" si="14">T41-M41</f>
        <v>33.704449473590898</v>
      </c>
      <c r="V41" s="10">
        <f>Assumptions!$E$16</f>
        <v>0.5</v>
      </c>
      <c r="W41" s="10">
        <f t="shared" si="3"/>
        <v>0.5534998651140568</v>
      </c>
      <c r="X41" s="10">
        <f t="shared" si="9"/>
        <v>0.5534998651140568</v>
      </c>
      <c r="Y41" s="10">
        <f>'PDB_woody perennials'!K345</f>
        <v>9.459199464355552E-3</v>
      </c>
      <c r="Z41" s="80">
        <f>'PDB_woody perennials'!G345</f>
        <v>318.66339201258171</v>
      </c>
      <c r="AA41" s="10">
        <f>'PDB_woody perennials'!J345</f>
        <v>611.72657691062136</v>
      </c>
      <c r="AB41" s="10">
        <f t="shared" ref="AB41:AB72" si="15">AA41-T41</f>
        <v>35.799511318205987</v>
      </c>
      <c r="AC41" s="10">
        <f>Assumptions!$E$16</f>
        <v>0.5</v>
      </c>
      <c r="AD41" s="10">
        <f t="shared" si="5"/>
        <v>0.6208303168565017</v>
      </c>
      <c r="AE41" s="10">
        <f t="shared" si="10"/>
        <v>0.6208303168565017</v>
      </c>
      <c r="AF41" s="10">
        <f>'PDB_woody perennials'!K448</f>
        <v>9.9889518591075501E-3</v>
      </c>
      <c r="AG41" s="80">
        <f>'PDB_woody perennials'!G448</f>
        <v>324.50447251790399</v>
      </c>
      <c r="AH41" s="10">
        <f>'PDB_woody perennials'!J448</f>
        <v>649.75137869907837</v>
      </c>
      <c r="AI41" s="10">
        <f t="shared" ref="AI41:AI72" si="16">AH41-AA41</f>
        <v>38.024801788457012</v>
      </c>
      <c r="AJ41" s="10">
        <f>Assumptions!$E$16</f>
        <v>0.5</v>
      </c>
      <c r="AK41" s="10">
        <f t="shared" ref="AK41:AK72" si="17">AF41*AI41*AJ41*44/12</f>
        <v>0.69635117661450696</v>
      </c>
      <c r="AL41" s="10">
        <f t="shared" si="11"/>
        <v>0.69635117661450696</v>
      </c>
      <c r="AM41">
        <f t="shared" si="12"/>
        <v>0.55413301536544202</v>
      </c>
    </row>
    <row r="42" spans="1:39" x14ac:dyDescent="0.2">
      <c r="A42" s="516"/>
      <c r="B42" s="516"/>
      <c r="C42" s="516"/>
      <c r="D42" s="516"/>
      <c r="E42" s="518"/>
      <c r="F42" s="55" t="s">
        <v>182</v>
      </c>
      <c r="G42" s="10">
        <f>'PDB_woody perennials'!K36</f>
        <v>0.10900517515931213</v>
      </c>
      <c r="H42" s="80">
        <f>'PDB_woody perennials'!G36</f>
        <v>312.51876770540628</v>
      </c>
      <c r="I42" s="10">
        <f>'PDB_woody perennials'!J36</f>
        <v>10455.815028664165</v>
      </c>
      <c r="J42" s="10">
        <f>Assumptions!$E$16</f>
        <v>0.5</v>
      </c>
      <c r="K42" s="10">
        <f>'PDB_woody perennials'!K140</f>
        <v>0.11275009923664527</v>
      </c>
      <c r="L42" s="80">
        <f>'PDB_woody perennials'!G140</f>
        <v>307.29475683914086</v>
      </c>
      <c r="M42" s="10">
        <f>'PDB_woody perennials'!J140</f>
        <v>10903.005478205283</v>
      </c>
      <c r="N42" s="10">
        <f t="shared" si="13"/>
        <v>447.19044954111814</v>
      </c>
      <c r="O42" s="10">
        <f>Assumptions!$E$16</f>
        <v>0.5</v>
      </c>
      <c r="P42" s="10">
        <f t="shared" si="1"/>
        <v>92.438073866308628</v>
      </c>
      <c r="Q42" s="10">
        <f t="shared" si="8"/>
        <v>92.438073866308628</v>
      </c>
      <c r="R42" s="10">
        <f>'PDB_woody perennials'!K243</f>
        <v>0.1190645484988913</v>
      </c>
      <c r="S42" s="80">
        <f>'PDB_woody perennials'!G243</f>
        <v>312.92745095635524</v>
      </c>
      <c r="T42" s="10">
        <f>'PDB_woody perennials'!J243</f>
        <v>11580.734120143605</v>
      </c>
      <c r="U42" s="10">
        <f t="shared" si="14"/>
        <v>677.72864193832174</v>
      </c>
      <c r="V42" s="10">
        <f>Assumptions!$E$16</f>
        <v>0.5</v>
      </c>
      <c r="W42" s="10">
        <f t="shared" si="3"/>
        <v>147.93800038811392</v>
      </c>
      <c r="X42" s="10">
        <f t="shared" si="9"/>
        <v>147.93800038811392</v>
      </c>
      <c r="Y42" s="10">
        <f>'PDB_woody perennials'!K346</f>
        <v>0.12573263176904892</v>
      </c>
      <c r="Z42" s="80">
        <f>'PDB_woody perennials'!G346</f>
        <v>318.66339201258171</v>
      </c>
      <c r="AA42" s="10">
        <f>'PDB_woody perennials'!J346</f>
        <v>12300.590239044266</v>
      </c>
      <c r="AB42" s="10">
        <f t="shared" si="15"/>
        <v>719.85611890066139</v>
      </c>
      <c r="AC42" s="10">
        <f>Assumptions!$E$16</f>
        <v>0.5</v>
      </c>
      <c r="AD42" s="10">
        <f t="shared" si="5"/>
        <v>165.93390792812821</v>
      </c>
      <c r="AE42" s="10">
        <f t="shared" si="10"/>
        <v>165.93390792812821</v>
      </c>
      <c r="AF42" s="10">
        <f>'PDB_woody perennials'!K449</f>
        <v>0.13277415394321557</v>
      </c>
      <c r="AG42" s="80">
        <f>'PDB_woody perennials'!G449</f>
        <v>324.50447251790399</v>
      </c>
      <c r="AH42" s="10">
        <f>'PDB_woody perennials'!J449</f>
        <v>13065.192470457576</v>
      </c>
      <c r="AI42" s="10">
        <f t="shared" si="16"/>
        <v>764.60223141330971</v>
      </c>
      <c r="AJ42" s="10">
        <f>Assumptions!$E$16</f>
        <v>0.5</v>
      </c>
      <c r="AK42" s="10">
        <f t="shared" si="17"/>
        <v>186.11892636149435</v>
      </c>
      <c r="AL42" s="10">
        <f t="shared" si="11"/>
        <v>186.11892636149435</v>
      </c>
      <c r="AM42">
        <f t="shared" si="12"/>
        <v>148.10722713601126</v>
      </c>
    </row>
    <row r="43" spans="1:39" x14ac:dyDescent="0.2">
      <c r="A43" s="516"/>
      <c r="B43" s="516"/>
      <c r="C43" s="516"/>
      <c r="D43" s="516"/>
      <c r="E43" s="518"/>
      <c r="F43" s="55" t="s">
        <v>172</v>
      </c>
      <c r="G43" s="10">
        <f>'PDB_woody perennials'!K37</f>
        <v>6.583378676723714E-2</v>
      </c>
      <c r="H43" s="80">
        <f>'PDB_woody perennials'!G37</f>
        <v>312.51876770540628</v>
      </c>
      <c r="I43" s="10">
        <f>'PDB_woody perennials'!J37</f>
        <v>5825.3213255881383</v>
      </c>
      <c r="J43" s="10">
        <f>Assumptions!$E$16</f>
        <v>0.5</v>
      </c>
      <c r="K43" s="10">
        <f>'PDB_woody perennials'!K141</f>
        <v>6.8095537485093588E-2</v>
      </c>
      <c r="L43" s="80">
        <f>'PDB_woody perennials'!G141</f>
        <v>307.29475683914086</v>
      </c>
      <c r="M43" s="10">
        <f>'PDB_woody perennials'!J141</f>
        <v>6074.4676671377474</v>
      </c>
      <c r="N43" s="10">
        <f t="shared" si="13"/>
        <v>249.14634154960913</v>
      </c>
      <c r="O43" s="10">
        <f>Assumptions!$E$16</f>
        <v>0.5</v>
      </c>
      <c r="P43" s="10">
        <f t="shared" si="1"/>
        <v>31.103882407153122</v>
      </c>
      <c r="Q43" s="10">
        <f t="shared" si="8"/>
        <v>31.103882407153122</v>
      </c>
      <c r="R43" s="10">
        <f>'PDB_woody perennials'!K244</f>
        <v>7.1909155560342691E-2</v>
      </c>
      <c r="S43" s="80">
        <f>'PDB_woody perennials'!G244</f>
        <v>312.92745095635524</v>
      </c>
      <c r="T43" s="10">
        <f>'PDB_woody perennials'!J244</f>
        <v>6452.0553635556698</v>
      </c>
      <c r="U43" s="10">
        <f t="shared" si="14"/>
        <v>377.58769641792242</v>
      </c>
      <c r="V43" s="10">
        <f>Assumptions!$E$16</f>
        <v>0.5</v>
      </c>
      <c r="W43" s="10">
        <f t="shared" si="3"/>
        <v>49.778689398877695</v>
      </c>
      <c r="X43" s="10">
        <f t="shared" si="9"/>
        <v>49.778689398877695</v>
      </c>
      <c r="Y43" s="10">
        <f>'PDB_woody perennials'!K347</f>
        <v>7.5936351255520979E-2</v>
      </c>
      <c r="Z43" s="80">
        <f>'PDB_woody perennials'!G347</f>
        <v>318.66339201258171</v>
      </c>
      <c r="AA43" s="10">
        <f>'PDB_woody perennials'!J347</f>
        <v>6853.1138357351456</v>
      </c>
      <c r="AB43" s="10">
        <f t="shared" si="15"/>
        <v>401.05847217947576</v>
      </c>
      <c r="AC43" s="10">
        <f>Assumptions!$E$16</f>
        <v>0.5</v>
      </c>
      <c r="AD43" s="10">
        <f t="shared" si="5"/>
        <v>55.834014531942643</v>
      </c>
      <c r="AE43" s="10">
        <f t="shared" si="10"/>
        <v>55.834014531942643</v>
      </c>
      <c r="AF43" s="10">
        <f>'PDB_woody perennials'!K450</f>
        <v>8.0189085757835621E-2</v>
      </c>
      <c r="AG43" s="80">
        <f>'PDB_woody perennials'!G450</f>
        <v>324.50447251790399</v>
      </c>
      <c r="AH43" s="10">
        <f>'PDB_woody perennials'!J450</f>
        <v>7279.102022407681</v>
      </c>
      <c r="AI43" s="10">
        <f t="shared" si="16"/>
        <v>425.98818667253545</v>
      </c>
      <c r="AJ43" s="10">
        <f>Assumptions!$E$16</f>
        <v>0.5</v>
      </c>
      <c r="AK43" s="10">
        <f t="shared" si="17"/>
        <v>62.625939260332871</v>
      </c>
      <c r="AL43" s="10">
        <f t="shared" si="11"/>
        <v>62.625939260332871</v>
      </c>
      <c r="AM43">
        <f t="shared" si="12"/>
        <v>49.835631399576584</v>
      </c>
    </row>
    <row r="44" spans="1:39" x14ac:dyDescent="0.2">
      <c r="A44" s="516"/>
      <c r="B44" s="516"/>
      <c r="C44" s="516"/>
      <c r="D44" s="516"/>
      <c r="E44" s="518"/>
      <c r="F44" s="55" t="s">
        <v>183</v>
      </c>
      <c r="G44" s="10">
        <f>'PDB_woody perennials'!K38</f>
        <v>4.2107141947254293E-3</v>
      </c>
      <c r="H44" s="80">
        <f>'PDB_woody perennials'!G38</f>
        <v>178.58215297451784</v>
      </c>
      <c r="I44" s="10">
        <f>'PDB_woody perennials'!J38</f>
        <v>262.45690929248769</v>
      </c>
      <c r="J44" s="10">
        <f>Assumptions!$E$16</f>
        <v>0.5</v>
      </c>
      <c r="K44" s="10">
        <f>'PDB_woody perennials'!K142</f>
        <v>4.3553752619412698E-3</v>
      </c>
      <c r="L44" s="80">
        <f>'PDB_woody perennials'!G142</f>
        <v>175.59700390808047</v>
      </c>
      <c r="M44" s="10">
        <f>'PDB_woody perennials'!J142</f>
        <v>273.68207183887068</v>
      </c>
      <c r="N44" s="10">
        <f t="shared" si="13"/>
        <v>11.22516254638299</v>
      </c>
      <c r="O44" s="10">
        <f>Assumptions!$E$16</f>
        <v>0.5</v>
      </c>
      <c r="P44" s="10">
        <f t="shared" si="1"/>
        <v>8.9631291320607931E-2</v>
      </c>
      <c r="Q44" s="10">
        <f t="shared" si="8"/>
        <v>8.9631291320607931E-2</v>
      </c>
      <c r="R44" s="10">
        <f>'PDB_woody perennials'!K245</f>
        <v>4.5992934163000317E-3</v>
      </c>
      <c r="S44" s="80">
        <f>'PDB_woody perennials'!G245</f>
        <v>178.81568626077441</v>
      </c>
      <c r="T44" s="10">
        <f>'PDB_woody perennials'!J245</f>
        <v>290.69409473851954</v>
      </c>
      <c r="U44" s="10">
        <f t="shared" si="14"/>
        <v>17.012022899648855</v>
      </c>
      <c r="V44" s="10">
        <f>Assumptions!$E$16</f>
        <v>0.5</v>
      </c>
      <c r="W44" s="10">
        <f t="shared" si="3"/>
        <v>0.14344602235388401</v>
      </c>
      <c r="X44" s="10">
        <f t="shared" si="9"/>
        <v>0.14344602235388401</v>
      </c>
      <c r="Y44" s="10">
        <f>'PDB_woody perennials'!K348</f>
        <v>4.8568719471929773E-3</v>
      </c>
      <c r="Z44" s="80">
        <f>'PDB_woody perennials'!G348</f>
        <v>182.09336686433241</v>
      </c>
      <c r="AA44" s="10">
        <f>'PDB_woody perennials'!J348</f>
        <v>308.76358158234876</v>
      </c>
      <c r="AB44" s="10">
        <f t="shared" si="15"/>
        <v>18.069486843829225</v>
      </c>
      <c r="AC44" s="10">
        <f>Assumptions!$E$16</f>
        <v>0.5</v>
      </c>
      <c r="AD44" s="10">
        <f t="shared" si="5"/>
        <v>0.16089550354527235</v>
      </c>
      <c r="AE44" s="10">
        <f t="shared" si="10"/>
        <v>0.16089550354527235</v>
      </c>
      <c r="AF44" s="10">
        <f>'PDB_woody perennials'!K451</f>
        <v>5.1288758894636414E-3</v>
      </c>
      <c r="AG44" s="80">
        <f>'PDB_woody perennials'!G451</f>
        <v>185.431127153088</v>
      </c>
      <c r="AH44" s="10">
        <f>'PDB_woody perennials'!J451</f>
        <v>327.95626411783104</v>
      </c>
      <c r="AI44" s="10">
        <f t="shared" si="16"/>
        <v>19.192682535482277</v>
      </c>
      <c r="AJ44" s="10">
        <f>Assumptions!$E$16</f>
        <v>0.5</v>
      </c>
      <c r="AK44" s="10">
        <f t="shared" si="17"/>
        <v>0.18046762563566909</v>
      </c>
      <c r="AL44" s="10">
        <f t="shared" si="11"/>
        <v>0.18046762563566909</v>
      </c>
      <c r="AM44">
        <f t="shared" si="12"/>
        <v>0.14361011071385835</v>
      </c>
    </row>
    <row r="45" spans="1:39" x14ac:dyDescent="0.2">
      <c r="A45" s="516"/>
      <c r="B45" s="516"/>
      <c r="C45" s="516"/>
      <c r="D45" s="516"/>
      <c r="E45" s="518"/>
      <c r="F45" s="55" t="s">
        <v>184</v>
      </c>
      <c r="G45" s="10">
        <f>'PDB_woody perennials'!K39</f>
        <v>2.1975443312117329E-2</v>
      </c>
      <c r="H45" s="80">
        <f>'PDB_woody perennials'!G39</f>
        <v>89.29107648725892</v>
      </c>
      <c r="I45" s="10">
        <f>'PDB_woody perennials'!J39</f>
        <v>1993.5071192115026</v>
      </c>
      <c r="J45" s="10">
        <f>Assumptions!$E$16</f>
        <v>0.5</v>
      </c>
      <c r="K45" s="10">
        <f>'PDB_woody perennials'!K143</f>
        <v>2.2730420006107699E-2</v>
      </c>
      <c r="L45" s="80">
        <f>'PDB_woody perennials'!G143</f>
        <v>87.798501954040233</v>
      </c>
      <c r="M45" s="10">
        <f>'PDB_woody perennials'!J143</f>
        <v>2078.7685113038096</v>
      </c>
      <c r="N45" s="10">
        <f t="shared" si="13"/>
        <v>85.261392092307005</v>
      </c>
      <c r="O45" s="10">
        <f>Assumptions!$E$16</f>
        <v>0.5</v>
      </c>
      <c r="P45" s="10">
        <f t="shared" si="1"/>
        <v>3.553049963033208</v>
      </c>
      <c r="Q45" s="10">
        <f t="shared" si="8"/>
        <v>3.553049963033208</v>
      </c>
      <c r="R45" s="10">
        <f>'PDB_woody perennials'!K246</f>
        <v>2.4003412977376494E-2</v>
      </c>
      <c r="S45" s="80">
        <f>'PDB_woody perennials'!G246</f>
        <v>89.407843130387207</v>
      </c>
      <c r="T45" s="10">
        <f>'PDB_woody perennials'!J246</f>
        <v>2207.984346596776</v>
      </c>
      <c r="U45" s="10">
        <f t="shared" si="14"/>
        <v>129.2158352929664</v>
      </c>
      <c r="V45" s="10">
        <f>Assumptions!$E$16</f>
        <v>0.5</v>
      </c>
      <c r="W45" s="10">
        <f t="shared" si="3"/>
        <v>5.6863052725485117</v>
      </c>
      <c r="X45" s="10">
        <f t="shared" si="9"/>
        <v>5.6863052725485117</v>
      </c>
      <c r="Y45" s="10">
        <f>'PDB_woody perennials'!K349</f>
        <v>2.534769856464027E-2</v>
      </c>
      <c r="Z45" s="80">
        <f>'PDB_woody perennials'!G349</f>
        <v>91.046683432166205</v>
      </c>
      <c r="AA45" s="10">
        <f>'PDB_woody perennials'!J349</f>
        <v>2345.2322123922572</v>
      </c>
      <c r="AB45" s="10">
        <f t="shared" si="15"/>
        <v>137.24786579548118</v>
      </c>
      <c r="AC45" s="10">
        <f>Assumptions!$E$16</f>
        <v>0.5</v>
      </c>
      <c r="AD45" s="10">
        <f t="shared" si="5"/>
        <v>6.3780154731774408</v>
      </c>
      <c r="AE45" s="10">
        <f t="shared" si="10"/>
        <v>6.3780154731774408</v>
      </c>
      <c r="AF45" s="10">
        <f>'PDB_woody perennials'!K452</f>
        <v>2.6767269434952268E-2</v>
      </c>
      <c r="AG45" s="80">
        <f>'PDB_woody perennials'!G452</f>
        <v>92.715563576544</v>
      </c>
      <c r="AH45" s="10">
        <f>'PDB_woody perennials'!J452</f>
        <v>2491.0113781013665</v>
      </c>
      <c r="AI45" s="10">
        <f t="shared" si="16"/>
        <v>145.77916570910929</v>
      </c>
      <c r="AJ45" s="10">
        <f>Assumptions!$E$16</f>
        <v>0.5</v>
      </c>
      <c r="AK45" s="10">
        <f t="shared" si="17"/>
        <v>7.1538687119868518</v>
      </c>
      <c r="AL45" s="10">
        <f t="shared" si="11"/>
        <v>7.1538687119868518</v>
      </c>
      <c r="AM45">
        <f t="shared" si="12"/>
        <v>5.6928098551865034</v>
      </c>
    </row>
    <row r="46" spans="1:39" x14ac:dyDescent="0.2">
      <c r="A46" s="516"/>
      <c r="B46" s="516"/>
      <c r="C46" s="516"/>
      <c r="D46" s="516"/>
      <c r="E46" s="518"/>
      <c r="F46" s="55" t="s">
        <v>185</v>
      </c>
      <c r="G46" s="10">
        <f>'PDB_woody perennials'!K40</f>
        <v>8.9695686988234007E-4</v>
      </c>
      <c r="H46" s="80">
        <f>'PDB_woody perennials'!G40</f>
        <v>44.64553824362946</v>
      </c>
      <c r="I46" s="10">
        <f>'PDB_woody perennials'!J40</f>
        <v>54.494156217764342</v>
      </c>
      <c r="J46" s="10">
        <f>Assumptions!$E$16</f>
        <v>0.5</v>
      </c>
      <c r="K46" s="10">
        <f>'PDB_woody perennials'!K144</f>
        <v>9.2777224514725275E-4</v>
      </c>
      <c r="L46" s="80">
        <f>'PDB_woody perennials'!G144</f>
        <v>43.899250977020117</v>
      </c>
      <c r="M46" s="10">
        <f>'PDB_woody perennials'!J144</f>
        <v>56.824846474772293</v>
      </c>
      <c r="N46" s="10">
        <f t="shared" si="13"/>
        <v>2.3306902570079515</v>
      </c>
      <c r="O46" s="10">
        <f>Assumptions!$E$16</f>
        <v>0.5</v>
      </c>
      <c r="P46" s="10">
        <f t="shared" si="1"/>
        <v>3.9643078428930074E-3</v>
      </c>
      <c r="Q46" s="10">
        <f t="shared" si="8"/>
        <v>3.9643078428930074E-3</v>
      </c>
      <c r="R46" s="10">
        <f>'PDB_woody perennials'!K247</f>
        <v>9.7973114193373469E-4</v>
      </c>
      <c r="S46" s="80">
        <f>'PDB_woody perennials'!G247</f>
        <v>44.703921565193603</v>
      </c>
      <c r="T46" s="10">
        <f>'PDB_woody perennials'!J247</f>
        <v>60.357067577172451</v>
      </c>
      <c r="U46" s="10">
        <f t="shared" si="14"/>
        <v>3.5322211024001575</v>
      </c>
      <c r="V46" s="10">
        <f>Assumptions!$E$16</f>
        <v>0.5</v>
      </c>
      <c r="W46" s="10">
        <f t="shared" si="3"/>
        <v>6.344482859397726E-3</v>
      </c>
      <c r="X46" s="10">
        <f t="shared" si="9"/>
        <v>6.344482859397726E-3</v>
      </c>
      <c r="Y46" s="10">
        <f>'PDB_woody perennials'!K350</f>
        <v>1.0345999414138889E-3</v>
      </c>
      <c r="Z46" s="80">
        <f>'PDB_woody perennials'!G350</f>
        <v>45.523341716083102</v>
      </c>
      <c r="AA46" s="10">
        <f>'PDB_woody perennials'!J350</f>
        <v>64.108850837506111</v>
      </c>
      <c r="AB46" s="10">
        <f t="shared" si="15"/>
        <v>3.7517832603336601</v>
      </c>
      <c r="AC46" s="10">
        <f>Assumptions!$E$16</f>
        <v>0.5</v>
      </c>
      <c r="AD46" s="10">
        <f t="shared" si="5"/>
        <v>7.116257025787825E-3</v>
      </c>
      <c r="AE46" s="10">
        <f t="shared" si="10"/>
        <v>7.116257025787825E-3</v>
      </c>
      <c r="AF46" s="10">
        <f>'PDB_woody perennials'!K453</f>
        <v>1.0925416095898886E-3</v>
      </c>
      <c r="AG46" s="80">
        <f>'PDB_woody perennials'!G453</f>
        <v>46.357781788272</v>
      </c>
      <c r="AH46" s="10">
        <f>'PDB_woody perennials'!J453</f>
        <v>68.093844195638439</v>
      </c>
      <c r="AI46" s="10">
        <f t="shared" si="16"/>
        <v>3.9849933581323285</v>
      </c>
      <c r="AJ46" s="10">
        <f>Assumptions!$E$16</f>
        <v>0.5</v>
      </c>
      <c r="AK46" s="10">
        <f t="shared" si="17"/>
        <v>7.9819136057813333E-3</v>
      </c>
      <c r="AL46" s="10">
        <f t="shared" si="11"/>
        <v>7.9819136057813333E-3</v>
      </c>
      <c r="AM46">
        <f t="shared" si="12"/>
        <v>6.3517403334649725E-3</v>
      </c>
    </row>
    <row r="47" spans="1:39" x14ac:dyDescent="0.2">
      <c r="A47" s="516"/>
      <c r="B47" s="516"/>
      <c r="C47" s="516"/>
      <c r="D47" s="516"/>
      <c r="E47" s="518"/>
      <c r="F47" s="55" t="s">
        <v>186</v>
      </c>
      <c r="G47" s="10">
        <f>'PDB_woody perennials'!K41</f>
        <v>1.5356233818633762E-2</v>
      </c>
      <c r="H47" s="80">
        <f>'PDB_woody perennials'!G41</f>
        <v>133.93661473088838</v>
      </c>
      <c r="I47" s="10">
        <f>'PDB_woody perennials'!J41</f>
        <v>1232.7806024270126</v>
      </c>
      <c r="J47" s="10">
        <f>Assumptions!$E$16</f>
        <v>0.5</v>
      </c>
      <c r="K47" s="10">
        <f>'PDB_woody perennials'!K145</f>
        <v>1.5883804456271022E-2</v>
      </c>
      <c r="L47" s="80">
        <f>'PDB_woody perennials'!G145</f>
        <v>131.69775293106036</v>
      </c>
      <c r="M47" s="10">
        <f>'PDB_woody perennials'!J145</f>
        <v>1285.5060676608111</v>
      </c>
      <c r="N47" s="10">
        <f t="shared" si="13"/>
        <v>52.725465233798559</v>
      </c>
      <c r="O47" s="10">
        <f>Assumptions!$E$16</f>
        <v>0.5</v>
      </c>
      <c r="P47" s="10">
        <f t="shared" si="1"/>
        <v>1.5353817960058829</v>
      </c>
      <c r="Q47" s="10">
        <f t="shared" si="8"/>
        <v>1.5353817960058829</v>
      </c>
      <c r="R47" s="10">
        <f>'PDB_woody perennials'!K248</f>
        <v>1.6773360013291435E-2</v>
      </c>
      <c r="S47" s="80">
        <f>'PDB_woody perennials'!G248</f>
        <v>134.11176469558083</v>
      </c>
      <c r="T47" s="10">
        <f>'PDB_woody perennials'!J248</f>
        <v>1365.4128679628734</v>
      </c>
      <c r="U47" s="10">
        <f t="shared" si="14"/>
        <v>79.906800302062265</v>
      </c>
      <c r="V47" s="10">
        <f>Assumptions!$E$16</f>
        <v>0.5</v>
      </c>
      <c r="W47" s="10">
        <f t="shared" si="3"/>
        <v>2.4572268031239046</v>
      </c>
      <c r="X47" s="10">
        <f t="shared" si="9"/>
        <v>2.4572268031239046</v>
      </c>
      <c r="Y47" s="10">
        <f>'PDB_woody perennials'!K351</f>
        <v>1.771273418216926E-2</v>
      </c>
      <c r="Z47" s="80">
        <f>'PDB_woody perennials'!G351</f>
        <v>136.57002514824933</v>
      </c>
      <c r="AA47" s="10">
        <f>'PDB_woody perennials'!J351</f>
        <v>1450.2866590051133</v>
      </c>
      <c r="AB47" s="10">
        <f t="shared" si="15"/>
        <v>84.873791042239873</v>
      </c>
      <c r="AC47" s="10">
        <f>Assumptions!$E$16</f>
        <v>0.5</v>
      </c>
      <c r="AD47" s="10">
        <f t="shared" si="5"/>
        <v>2.7561359829009842</v>
      </c>
      <c r="AE47" s="10">
        <f t="shared" si="10"/>
        <v>2.7561359829009842</v>
      </c>
      <c r="AF47" s="10">
        <f>'PDB_woody perennials'!K454</f>
        <v>1.8704717001219482E-2</v>
      </c>
      <c r="AG47" s="80">
        <f>'PDB_woody perennials'!G454</f>
        <v>139.07334536481602</v>
      </c>
      <c r="AH47" s="10">
        <f>'PDB_woody perennials'!J454</f>
        <v>1540.4361879394623</v>
      </c>
      <c r="AI47" s="10">
        <f t="shared" si="16"/>
        <v>90.149528934349064</v>
      </c>
      <c r="AJ47" s="10">
        <f>Assumptions!$E$16</f>
        <v>0.5</v>
      </c>
      <c r="AK47" s="10">
        <f t="shared" si="17"/>
        <v>3.091405948602119</v>
      </c>
      <c r="AL47" s="10">
        <f t="shared" si="11"/>
        <v>3.091405948602119</v>
      </c>
      <c r="AM47">
        <f t="shared" si="12"/>
        <v>2.4600376326582225</v>
      </c>
    </row>
    <row r="48" spans="1:39" x14ac:dyDescent="0.2">
      <c r="A48" s="516"/>
      <c r="B48" s="516"/>
      <c r="C48" s="516"/>
      <c r="D48" s="516"/>
      <c r="E48" s="518"/>
      <c r="F48" s="55" t="s">
        <v>171</v>
      </c>
      <c r="G48" s="10">
        <f>'PDB_woody perennials'!K42</f>
        <v>0.12559887725213542</v>
      </c>
      <c r="H48" s="80">
        <f>'PDB_woody perennials'!G42</f>
        <v>178.58215297451784</v>
      </c>
      <c r="I48" s="10">
        <f>'PDB_woody perennials'!J42</f>
        <v>13478.103961598663</v>
      </c>
      <c r="J48" s="10">
        <f>Assumptions!$E$16</f>
        <v>0.5</v>
      </c>
      <c r="K48" s="10">
        <f>'PDB_woody perennials'!K146</f>
        <v>0.12991388577186944</v>
      </c>
      <c r="L48" s="80">
        <f>'PDB_woody perennials'!G146</f>
        <v>175.59700390808047</v>
      </c>
      <c r="M48" s="10">
        <f>'PDB_woody perennials'!J146</f>
        <v>14054.556333128301</v>
      </c>
      <c r="N48" s="10">
        <f t="shared" si="13"/>
        <v>576.45237152963819</v>
      </c>
      <c r="O48" s="10">
        <f>Assumptions!$E$16</f>
        <v>0.5</v>
      </c>
      <c r="P48" s="10">
        <f t="shared" si="1"/>
        <v>137.29680717101186</v>
      </c>
      <c r="Q48" s="10">
        <f t="shared" si="8"/>
        <v>137.29680717101186</v>
      </c>
      <c r="R48" s="10">
        <f>'PDB_woody perennials'!K249</f>
        <v>0.13718957462466544</v>
      </c>
      <c r="S48" s="80">
        <f>'PDB_woody perennials'!G249</f>
        <v>178.81568626077441</v>
      </c>
      <c r="T48" s="10">
        <f>'PDB_woody perennials'!J249</f>
        <v>14928.184746480676</v>
      </c>
      <c r="U48" s="10">
        <f t="shared" si="14"/>
        <v>873.62841335237499</v>
      </c>
      <c r="V48" s="10">
        <f>Assumptions!$E$16</f>
        <v>0.5</v>
      </c>
      <c r="W48" s="10">
        <f t="shared" si="3"/>
        <v>219.72996908102846</v>
      </c>
      <c r="X48" s="10">
        <f t="shared" si="9"/>
        <v>219.72996908102846</v>
      </c>
      <c r="Y48" s="10">
        <f>'PDB_woody perennials'!K352</f>
        <v>0.14487273068520587</v>
      </c>
      <c r="Z48" s="80">
        <f>'PDB_woody perennials'!G352</f>
        <v>182.09336686433241</v>
      </c>
      <c r="AA48" s="10">
        <f>'PDB_woody perennials'!J352</f>
        <v>15856.117727442743</v>
      </c>
      <c r="AB48" s="10">
        <f t="shared" si="15"/>
        <v>927.93298096206672</v>
      </c>
      <c r="AC48" s="10">
        <f>Assumptions!$E$16</f>
        <v>0.5</v>
      </c>
      <c r="AD48" s="10">
        <f t="shared" si="5"/>
        <v>246.45900554886921</v>
      </c>
      <c r="AE48" s="10">
        <f t="shared" si="10"/>
        <v>246.45900554886921</v>
      </c>
      <c r="AF48" s="10">
        <f>'PDB_woody perennials'!K455</f>
        <v>0.15298617372062853</v>
      </c>
      <c r="AG48" s="80">
        <f>'PDB_woody perennials'!G455</f>
        <v>185.431127153088</v>
      </c>
      <c r="AH48" s="10">
        <f>'PDB_woody perennials'!J455</f>
        <v>16841.730837086267</v>
      </c>
      <c r="AI48" s="10">
        <f t="shared" si="16"/>
        <v>985.61310964352379</v>
      </c>
      <c r="AJ48" s="10">
        <f>Assumptions!$E$16</f>
        <v>0.5</v>
      </c>
      <c r="AK48" s="10">
        <f t="shared" si="17"/>
        <v>276.43949375763054</v>
      </c>
      <c r="AL48" s="10">
        <f t="shared" si="11"/>
        <v>276.43949375763054</v>
      </c>
      <c r="AM48">
        <f t="shared" si="12"/>
        <v>219.98131888963502</v>
      </c>
    </row>
    <row r="49" spans="1:39" x14ac:dyDescent="0.2">
      <c r="A49" s="516"/>
      <c r="B49" s="516"/>
      <c r="C49" s="516"/>
      <c r="D49" s="516"/>
      <c r="E49" s="518"/>
      <c r="F49" s="55" t="s">
        <v>187</v>
      </c>
      <c r="G49" s="10">
        <f>'PDB_woody perennials'!K43</f>
        <v>2.2423921747058501E-2</v>
      </c>
      <c r="H49" s="80">
        <f>'PDB_woody perennials'!G43</f>
        <v>44.64553824362946</v>
      </c>
      <c r="I49" s="10">
        <f>'PDB_woody perennials'!J43</f>
        <v>2280.1338523700601</v>
      </c>
      <c r="J49" s="10">
        <f>Assumptions!$E$16</f>
        <v>0.5</v>
      </c>
      <c r="K49" s="10">
        <f>'PDB_woody perennials'!K147</f>
        <v>2.3194306128681324E-2</v>
      </c>
      <c r="L49" s="80">
        <f>'PDB_woody perennials'!G147</f>
        <v>43.899250977020117</v>
      </c>
      <c r="M49" s="10">
        <f>'PDB_woody perennials'!J147</f>
        <v>2377.6541393739813</v>
      </c>
      <c r="N49" s="10">
        <f t="shared" si="13"/>
        <v>97.520287003921112</v>
      </c>
      <c r="O49" s="10">
        <f>Assumptions!$E$16</f>
        <v>0.5</v>
      </c>
      <c r="P49" s="10">
        <f t="shared" si="1"/>
        <v>4.1468448826306501</v>
      </c>
      <c r="Q49" s="10">
        <f t="shared" si="8"/>
        <v>4.1468448826306501</v>
      </c>
      <c r="R49" s="10">
        <f>'PDB_woody perennials'!K250</f>
        <v>2.4493278548343374E-2</v>
      </c>
      <c r="S49" s="80">
        <f>'PDB_woody perennials'!G250</f>
        <v>44.703921565193603</v>
      </c>
      <c r="T49" s="10">
        <f>'PDB_woody perennials'!J250</f>
        <v>2525.4486455858787</v>
      </c>
      <c r="U49" s="10">
        <f t="shared" si="14"/>
        <v>147.79450621189744</v>
      </c>
      <c r="V49" s="10">
        <f>Assumptions!$E$16</f>
        <v>0.5</v>
      </c>
      <c r="W49" s="10">
        <f t="shared" si="3"/>
        <v>6.6366153490319268</v>
      </c>
      <c r="X49" s="10">
        <f t="shared" si="9"/>
        <v>6.6366153490319268</v>
      </c>
      <c r="Y49" s="10">
        <f>'PDB_woody perennials'!K353</f>
        <v>2.5864998535347218E-2</v>
      </c>
      <c r="Z49" s="80">
        <f>'PDB_woody perennials'!G353</f>
        <v>45.523341716083102</v>
      </c>
      <c r="AA49" s="10">
        <f>'PDB_woody perennials'!J353</f>
        <v>2682.4300287723104</v>
      </c>
      <c r="AB49" s="10">
        <f t="shared" si="15"/>
        <v>156.98138318643169</v>
      </c>
      <c r="AC49" s="10">
        <f>Assumptions!$E$16</f>
        <v>0.5</v>
      </c>
      <c r="AD49" s="10">
        <f t="shared" si="5"/>
        <v>7.4439259513553671</v>
      </c>
      <c r="AE49" s="10">
        <f t="shared" si="10"/>
        <v>7.4439259513553671</v>
      </c>
      <c r="AF49" s="10">
        <f>'PDB_woody perennials'!K456</f>
        <v>2.7313540239747209E-2</v>
      </c>
      <c r="AG49" s="80">
        <f>'PDB_woody perennials'!G456</f>
        <v>46.357781788272</v>
      </c>
      <c r="AH49" s="10">
        <f>'PDB_woody perennials'!J456</f>
        <v>2849.1693433703326</v>
      </c>
      <c r="AI49" s="10">
        <f t="shared" si="16"/>
        <v>166.73931459802225</v>
      </c>
      <c r="AJ49" s="10">
        <f>Assumptions!$E$16</f>
        <v>0.5</v>
      </c>
      <c r="AK49" s="10">
        <f t="shared" si="17"/>
        <v>8.3494417945050738</v>
      </c>
      <c r="AL49" s="10">
        <f t="shared" si="11"/>
        <v>8.3494417945050738</v>
      </c>
      <c r="AM49">
        <f t="shared" si="12"/>
        <v>6.6442069943807542</v>
      </c>
    </row>
    <row r="50" spans="1:39" x14ac:dyDescent="0.2">
      <c r="A50" s="516"/>
      <c r="B50" s="516"/>
      <c r="C50" s="516"/>
      <c r="D50" s="516"/>
      <c r="E50" s="518"/>
      <c r="F50" s="55" t="s">
        <v>188</v>
      </c>
      <c r="G50" s="10">
        <f>'PDB_woody perennials'!K44</f>
        <v>5.9822040127430497E-2</v>
      </c>
      <c r="H50" s="80">
        <f>'PDB_woody perennials'!G44</f>
        <v>178.58215297451784</v>
      </c>
      <c r="I50" s="10">
        <f>'PDB_woody perennials'!J44</f>
        <v>5701.1745601936682</v>
      </c>
      <c r="J50" s="10">
        <f>Assumptions!$E$16</f>
        <v>0.5</v>
      </c>
      <c r="K50" s="10">
        <f>'PDB_woody perennials'!K148</f>
        <v>6.1877254461070931E-2</v>
      </c>
      <c r="L50" s="80">
        <f>'PDB_woody perennials'!G148</f>
        <v>175.59700390808047</v>
      </c>
      <c r="M50" s="10">
        <f>'PDB_woody perennials'!J148</f>
        <v>5945.0112010959592</v>
      </c>
      <c r="N50" s="10">
        <f t="shared" si="13"/>
        <v>243.83664090229104</v>
      </c>
      <c r="O50" s="10">
        <f>Assumptions!$E$16</f>
        <v>0.5</v>
      </c>
      <c r="P50" s="10">
        <f t="shared" si="1"/>
        <v>27.661226772747039</v>
      </c>
      <c r="Q50" s="10">
        <f t="shared" si="8"/>
        <v>27.661226772747039</v>
      </c>
      <c r="R50" s="10">
        <f>'PDB_woody perennials'!K251</f>
        <v>6.5342624216191567E-2</v>
      </c>
      <c r="S50" s="80">
        <f>'PDB_woody perennials'!G251</f>
        <v>178.81568626077441</v>
      </c>
      <c r="T50" s="10">
        <f>'PDB_woody perennials'!J251</f>
        <v>6314.5519094521032</v>
      </c>
      <c r="U50" s="10">
        <f t="shared" si="14"/>
        <v>369.54070835614402</v>
      </c>
      <c r="V50" s="10">
        <f>Assumptions!$E$16</f>
        <v>0.5</v>
      </c>
      <c r="W50" s="10">
        <f t="shared" si="3"/>
        <v>44.269059337618067</v>
      </c>
      <c r="X50" s="10">
        <f t="shared" si="9"/>
        <v>44.269059337618067</v>
      </c>
      <c r="Y50" s="10">
        <f>'PDB_woody perennials'!K354</f>
        <v>6.9002068314854059E-2</v>
      </c>
      <c r="Z50" s="80">
        <f>'PDB_woody perennials'!G354</f>
        <v>182.09336686433241</v>
      </c>
      <c r="AA50" s="10">
        <f>'PDB_woody perennials'!J354</f>
        <v>6707.0631943997896</v>
      </c>
      <c r="AB50" s="10">
        <f t="shared" si="15"/>
        <v>392.51128494768636</v>
      </c>
      <c r="AC50" s="10">
        <f>Assumptions!$E$16</f>
        <v>0.5</v>
      </c>
      <c r="AD50" s="10">
        <f t="shared" si="5"/>
        <v>49.6541659135709</v>
      </c>
      <c r="AE50" s="10">
        <f t="shared" si="10"/>
        <v>49.6541659135709</v>
      </c>
      <c r="AF50" s="10">
        <f>'PDB_woody perennials'!K457</f>
        <v>7.2866455684036713E-2</v>
      </c>
      <c r="AG50" s="80">
        <f>'PDB_woody perennials'!G457</f>
        <v>185.431127153088</v>
      </c>
      <c r="AH50" s="10">
        <f>'PDB_woody perennials'!J457</f>
        <v>7123.97290239008</v>
      </c>
      <c r="AI50" s="10">
        <f t="shared" si="16"/>
        <v>416.90970799029037</v>
      </c>
      <c r="AJ50" s="10">
        <f>Assumptions!$E$16</f>
        <v>0.5</v>
      </c>
      <c r="AK50" s="10">
        <f t="shared" si="17"/>
        <v>55.694343396118505</v>
      </c>
      <c r="AL50" s="10">
        <f t="shared" si="11"/>
        <v>55.694343396118505</v>
      </c>
      <c r="AM50">
        <f t="shared" si="12"/>
        <v>44.319698855013627</v>
      </c>
    </row>
    <row r="51" spans="1:39" x14ac:dyDescent="0.2">
      <c r="A51" s="582" t="s">
        <v>18</v>
      </c>
      <c r="B51" s="582"/>
      <c r="C51" s="582"/>
      <c r="D51" s="582" t="s">
        <v>35</v>
      </c>
      <c r="E51" s="583">
        <f>Assumptions!D70</f>
        <v>2860.4270000000001</v>
      </c>
      <c r="F51" s="55" t="s">
        <v>189</v>
      </c>
      <c r="G51" s="10">
        <f>'PDB_woody perennials'!K45</f>
        <v>3.1891799818038759E-3</v>
      </c>
      <c r="H51" s="80">
        <f>'PDB_woody perennials'!G45</f>
        <v>89.29107648725892</v>
      </c>
      <c r="I51" s="10">
        <f>'PDB_woody perennials'!J45</f>
        <v>212.4407358194851</v>
      </c>
      <c r="J51" s="10">
        <f>Assumptions!$E$16</f>
        <v>0.5</v>
      </c>
      <c r="K51" s="10">
        <f>'PDB_woody perennials'!K149</f>
        <v>3.2987457605235652E-3</v>
      </c>
      <c r="L51" s="80">
        <f>'PDB_woody perennials'!G149</f>
        <v>87.798501954040233</v>
      </c>
      <c r="M51" s="10">
        <f>'PDB_woody perennials'!J149</f>
        <v>221.52672939258397</v>
      </c>
      <c r="N51" s="10">
        <f t="shared" si="13"/>
        <v>9.0859935730988752</v>
      </c>
      <c r="O51" s="10">
        <f>Assumptions!$E$16</f>
        <v>0.5</v>
      </c>
      <c r="P51" s="10">
        <f t="shared" si="1"/>
        <v>5.4949368428907845E-2</v>
      </c>
      <c r="Q51" s="10">
        <f t="shared" si="8"/>
        <v>5.4949368428907845E-2</v>
      </c>
      <c r="R51" s="10">
        <f>'PDB_woody perennials'!K252</f>
        <v>3.4834885046532791E-3</v>
      </c>
      <c r="S51" s="80">
        <f>'PDB_woody perennials'!G252</f>
        <v>89.407843130387207</v>
      </c>
      <c r="T51" s="10">
        <f>'PDB_woody perennials'!J252</f>
        <v>235.29678662720508</v>
      </c>
      <c r="U51" s="10">
        <f t="shared" si="14"/>
        <v>13.770057234621106</v>
      </c>
      <c r="V51" s="10">
        <f>Assumptions!$E$16</f>
        <v>0.5</v>
      </c>
      <c r="W51" s="10">
        <f t="shared" si="3"/>
        <v>8.7941032822903956E-2</v>
      </c>
      <c r="X51" s="10">
        <f t="shared" si="9"/>
        <v>8.7941032822903956E-2</v>
      </c>
      <c r="Y51" s="10">
        <f>'PDB_woody perennials'!K355</f>
        <v>3.6785775694716046E-3</v>
      </c>
      <c r="Z51" s="80">
        <f>'PDB_woody perennials'!G355</f>
        <v>91.046683432166205</v>
      </c>
      <c r="AA51" s="10">
        <f>'PDB_woody perennials'!J355</f>
        <v>249.92278786806267</v>
      </c>
      <c r="AB51" s="10">
        <f t="shared" si="15"/>
        <v>14.62600124085759</v>
      </c>
      <c r="AC51" s="10">
        <f>Assumptions!$E$16</f>
        <v>0.5</v>
      </c>
      <c r="AD51" s="10">
        <f t="shared" si="5"/>
        <v>9.8638613508751402E-2</v>
      </c>
      <c r="AE51" s="10">
        <f t="shared" si="10"/>
        <v>9.8638613508751402E-2</v>
      </c>
      <c r="AF51" s="10">
        <f>'PDB_woody perennials'!K458</f>
        <v>3.8845923896529376E-3</v>
      </c>
      <c r="AG51" s="80">
        <f>'PDB_woody perennials'!G458</f>
        <v>92.715563576544</v>
      </c>
      <c r="AH51" s="10">
        <f>'PDB_woody perennials'!J458</f>
        <v>265.45793842355363</v>
      </c>
      <c r="AI51" s="10">
        <f t="shared" si="16"/>
        <v>15.535150555490958</v>
      </c>
      <c r="AJ51" s="10">
        <f>Assumptions!$E$16</f>
        <v>0.5</v>
      </c>
      <c r="AK51" s="10">
        <f t="shared" si="17"/>
        <v>0.11063750063661676</v>
      </c>
      <c r="AL51" s="10">
        <f t="shared" si="11"/>
        <v>0.11063750063661676</v>
      </c>
      <c r="AM51">
        <f t="shared" si="12"/>
        <v>8.8041628849294992E-2</v>
      </c>
    </row>
    <row r="52" spans="1:39" x14ac:dyDescent="0.2">
      <c r="A52" s="516"/>
      <c r="B52" s="516"/>
      <c r="C52" s="516"/>
      <c r="D52" s="516"/>
      <c r="E52" s="518"/>
      <c r="F52" s="55" t="s">
        <v>190</v>
      </c>
      <c r="G52" s="10">
        <f>'PDB_woody perennials'!K46</f>
        <v>1.9533727388548739E-2</v>
      </c>
      <c r="H52" s="80">
        <f>'PDB_woody perennials'!G46</f>
        <v>714.32861189807136</v>
      </c>
      <c r="I52" s="10">
        <f>'PDB_woody perennials'!J46</f>
        <v>1246.7703540715579</v>
      </c>
      <c r="J52" s="10">
        <f>Assumptions!$E$16</f>
        <v>0.5</v>
      </c>
      <c r="K52" s="10">
        <f>'PDB_woody perennials'!K150</f>
        <v>2.020481778320684E-2</v>
      </c>
      <c r="L52" s="80">
        <f>'PDB_woody perennials'!G150</f>
        <v>702.38801563232187</v>
      </c>
      <c r="M52" s="10">
        <f>'PDB_woody perennials'!J150</f>
        <v>1300.0941546153983</v>
      </c>
      <c r="N52" s="10">
        <f t="shared" si="13"/>
        <v>53.323800543840434</v>
      </c>
      <c r="O52" s="10">
        <f>Assumptions!$E$16</f>
        <v>0.5</v>
      </c>
      <c r="P52" s="10">
        <f t="shared" si="1"/>
        <v>1.9752290680766631</v>
      </c>
      <c r="Q52" s="10">
        <f t="shared" si="8"/>
        <v>1.9752290680766631</v>
      </c>
      <c r="R52" s="10">
        <f>'PDB_woody perennials'!K253</f>
        <v>2.1336367091001333E-2</v>
      </c>
      <c r="S52" s="80">
        <f>'PDB_woody perennials'!G253</f>
        <v>715.26274504309765</v>
      </c>
      <c r="T52" s="10">
        <f>'PDB_woody perennials'!J253</f>
        <v>1380.9077474876349</v>
      </c>
      <c r="U52" s="10">
        <f t="shared" si="14"/>
        <v>80.813592872236541</v>
      </c>
      <c r="V52" s="10">
        <f>Assumptions!$E$16</f>
        <v>0.5</v>
      </c>
      <c r="W52" s="10">
        <f t="shared" si="3"/>
        <v>3.1611588863520743</v>
      </c>
      <c r="X52" s="10">
        <f t="shared" si="9"/>
        <v>3.1611588863520743</v>
      </c>
      <c r="Y52" s="10">
        <f>'PDB_woody perennials'!K356</f>
        <v>2.2531287613013581E-2</v>
      </c>
      <c r="Z52" s="80">
        <f>'PDB_woody perennials'!G356</f>
        <v>728.37346745732964</v>
      </c>
      <c r="AA52" s="10">
        <f>'PDB_woody perennials'!J356</f>
        <v>1466.7446971450181</v>
      </c>
      <c r="AB52" s="10">
        <f t="shared" si="15"/>
        <v>85.836949657383229</v>
      </c>
      <c r="AC52" s="10">
        <f>Assumptions!$E$16</f>
        <v>0.5</v>
      </c>
      <c r="AD52" s="10">
        <f t="shared" si="5"/>
        <v>3.5456978343494936</v>
      </c>
      <c r="AE52" s="10">
        <f t="shared" si="10"/>
        <v>3.5456978343494936</v>
      </c>
      <c r="AF52" s="10">
        <f>'PDB_woody perennials'!K459</f>
        <v>2.3793128386624236E-2</v>
      </c>
      <c r="AG52" s="80">
        <f>'PDB_woody perennials'!G459</f>
        <v>741.724508612352</v>
      </c>
      <c r="AH52" s="10">
        <f>'PDB_woody perennials'!J459</f>
        <v>1557.9172544415794</v>
      </c>
      <c r="AI52" s="10">
        <f t="shared" si="16"/>
        <v>91.172557296561308</v>
      </c>
      <c r="AJ52" s="10">
        <f>Assumptions!$E$16</f>
        <v>0.5</v>
      </c>
      <c r="AK52" s="10">
        <f t="shared" si="17"/>
        <v>3.977013995338885</v>
      </c>
      <c r="AL52" s="10">
        <f t="shared" si="11"/>
        <v>3.977013995338885</v>
      </c>
      <c r="AM52">
        <f t="shared" si="12"/>
        <v>3.1647749460292789</v>
      </c>
    </row>
    <row r="53" spans="1:39" x14ac:dyDescent="0.2">
      <c r="A53" s="516"/>
      <c r="B53" s="516"/>
      <c r="C53" s="516"/>
      <c r="D53" s="516"/>
      <c r="E53" s="518"/>
      <c r="F53" s="55" t="s">
        <v>191</v>
      </c>
      <c r="G53" s="10">
        <f>'PDB_woody perennials'!K47</f>
        <v>1.7939137397646801E-3</v>
      </c>
      <c r="H53" s="80">
        <f>'PDB_woody perennials'!G47</f>
        <v>89.29107648725892</v>
      </c>
      <c r="I53" s="10">
        <f>'PDB_woody perennials'!J47</f>
        <v>108.98831243552868</v>
      </c>
      <c r="J53" s="10">
        <f>Assumptions!$E$16</f>
        <v>0.5</v>
      </c>
      <c r="K53" s="10">
        <f>'PDB_woody perennials'!K151</f>
        <v>1.8555444902945055E-3</v>
      </c>
      <c r="L53" s="80">
        <f>'PDB_woody perennials'!G151</f>
        <v>87.798501954040233</v>
      </c>
      <c r="M53" s="10">
        <f>'PDB_woody perennials'!J151</f>
        <v>113.64969294954459</v>
      </c>
      <c r="N53" s="10">
        <f t="shared" si="13"/>
        <v>4.661380514015903</v>
      </c>
      <c r="O53" s="10">
        <f>Assumptions!$E$16</f>
        <v>0.5</v>
      </c>
      <c r="P53" s="10">
        <f t="shared" si="1"/>
        <v>1.5857231371572029E-2</v>
      </c>
      <c r="Q53" s="10">
        <f t="shared" si="8"/>
        <v>1.5857231371572029E-2</v>
      </c>
      <c r="R53" s="10">
        <f>'PDB_woody perennials'!K254</f>
        <v>1.9594622838674694E-3</v>
      </c>
      <c r="S53" s="80">
        <f>'PDB_woody perennials'!G254</f>
        <v>89.407843130387207</v>
      </c>
      <c r="T53" s="10">
        <f>'PDB_woody perennials'!J254</f>
        <v>120.7141351543449</v>
      </c>
      <c r="U53" s="10">
        <f t="shared" si="14"/>
        <v>7.064442204800315</v>
      </c>
      <c r="V53" s="10">
        <f>Assumptions!$E$16</f>
        <v>0.5</v>
      </c>
      <c r="W53" s="10">
        <f t="shared" si="3"/>
        <v>2.5377931437590904E-2</v>
      </c>
      <c r="X53" s="10">
        <f t="shared" si="9"/>
        <v>2.5377931437590904E-2</v>
      </c>
      <c r="Y53" s="10">
        <f>'PDB_woody perennials'!K357</f>
        <v>2.0691998828277778E-3</v>
      </c>
      <c r="Z53" s="80">
        <f>'PDB_woody perennials'!G357</f>
        <v>91.046683432166205</v>
      </c>
      <c r="AA53" s="10">
        <f>'PDB_woody perennials'!J357</f>
        <v>128.21770167501222</v>
      </c>
      <c r="AB53" s="10">
        <f t="shared" si="15"/>
        <v>7.5035665206673201</v>
      </c>
      <c r="AC53" s="10">
        <f>Assumptions!$E$16</f>
        <v>0.5</v>
      </c>
      <c r="AD53" s="10">
        <f t="shared" si="5"/>
        <v>2.84650281031513E-2</v>
      </c>
      <c r="AE53" s="10">
        <f t="shared" si="10"/>
        <v>2.84650281031513E-2</v>
      </c>
      <c r="AF53" s="10">
        <f>'PDB_woody perennials'!K460</f>
        <v>2.1850832191797772E-3</v>
      </c>
      <c r="AG53" s="80">
        <f>'PDB_woody perennials'!G460</f>
        <v>92.715563576544</v>
      </c>
      <c r="AH53" s="10">
        <f>'PDB_woody perennials'!J460</f>
        <v>136.18768839127688</v>
      </c>
      <c r="AI53" s="10">
        <f t="shared" si="16"/>
        <v>7.9699867162646569</v>
      </c>
      <c r="AJ53" s="10">
        <f>Assumptions!$E$16</f>
        <v>0.5</v>
      </c>
      <c r="AK53" s="10">
        <f t="shared" si="17"/>
        <v>3.1927654423125333E-2</v>
      </c>
      <c r="AL53" s="10">
        <f t="shared" si="11"/>
        <v>3.1927654423125333E-2</v>
      </c>
      <c r="AM53">
        <f t="shared" si="12"/>
        <v>2.540696133385989E-2</v>
      </c>
    </row>
    <row r="54" spans="1:39" x14ac:dyDescent="0.2">
      <c r="A54" s="516"/>
      <c r="B54" s="516"/>
      <c r="C54" s="516"/>
      <c r="D54" s="516"/>
      <c r="E54" s="518"/>
      <c r="F54" s="55" t="s">
        <v>171</v>
      </c>
      <c r="G54" s="10">
        <f>'PDB_woody perennials'!K48</f>
        <v>2.1975443312117329E-2</v>
      </c>
      <c r="H54" s="80">
        <f>'PDB_woody perennials'!G48</f>
        <v>357.16430594903568</v>
      </c>
      <c r="I54" s="10">
        <f>'PDB_woody perennials'!J48</f>
        <v>1596.9385039607987</v>
      </c>
      <c r="J54" s="10">
        <f>Assumptions!$E$16</f>
        <v>0.5</v>
      </c>
      <c r="K54" s="10">
        <f>'PDB_woody perennials'!K152</f>
        <v>2.2730420006107699E-2</v>
      </c>
      <c r="L54" s="80">
        <f>'PDB_woody perennials'!G152</f>
        <v>351.19400781616093</v>
      </c>
      <c r="M54" s="10">
        <f>'PDB_woody perennials'!J152</f>
        <v>1665.2388368873039</v>
      </c>
      <c r="N54" s="10">
        <f t="shared" si="13"/>
        <v>68.300332926505234</v>
      </c>
      <c r="O54" s="10">
        <f>Assumptions!$E$16</f>
        <v>0.5</v>
      </c>
      <c r="P54" s="10">
        <f t="shared" si="1"/>
        <v>2.8462412989568264</v>
      </c>
      <c r="Q54" s="10">
        <f t="shared" si="8"/>
        <v>2.8462412989568264</v>
      </c>
      <c r="R54" s="10">
        <f>'PDB_woody perennials'!K255</f>
        <v>2.4003412977376494E-2</v>
      </c>
      <c r="S54" s="80">
        <f>'PDB_woody perennials'!G255</f>
        <v>357.63137252154883</v>
      </c>
      <c r="T54" s="10">
        <f>'PDB_woody perennials'!J255</f>
        <v>1768.749750248081</v>
      </c>
      <c r="U54" s="10">
        <f t="shared" si="14"/>
        <v>103.51091336077707</v>
      </c>
      <c r="V54" s="10">
        <f>Assumptions!$E$16</f>
        <v>0.5</v>
      </c>
      <c r="W54" s="10">
        <f t="shared" si="3"/>
        <v>4.5551278686176451</v>
      </c>
      <c r="X54" s="10">
        <f t="shared" si="9"/>
        <v>4.5551278686176451</v>
      </c>
      <c r="Y54" s="10">
        <f>'PDB_woody perennials'!K358</f>
        <v>2.534769856464027E-2</v>
      </c>
      <c r="Z54" s="80">
        <f>'PDB_woody perennials'!G358</f>
        <v>364.18673372866482</v>
      </c>
      <c r="AA54" s="10">
        <f>'PDB_woody perennials'!J358</f>
        <v>1878.6948813003041</v>
      </c>
      <c r="AB54" s="10">
        <f t="shared" si="15"/>
        <v>109.94513105222313</v>
      </c>
      <c r="AC54" s="10">
        <f>Assumptions!$E$16</f>
        <v>0.5</v>
      </c>
      <c r="AD54" s="10">
        <f t="shared" si="5"/>
        <v>5.1092360743629746</v>
      </c>
      <c r="AE54" s="10">
        <f t="shared" si="10"/>
        <v>5.1092360743629746</v>
      </c>
      <c r="AF54" s="10">
        <f>'PDB_woody perennials'!K461</f>
        <v>2.6767269434952268E-2</v>
      </c>
      <c r="AG54" s="80">
        <f>'PDB_woody perennials'!G461</f>
        <v>370.862254306176</v>
      </c>
      <c r="AH54" s="10">
        <f>'PDB_woody perennials'!J461</f>
        <v>1995.4741797300173</v>
      </c>
      <c r="AI54" s="10">
        <f t="shared" si="16"/>
        <v>116.77929842971321</v>
      </c>
      <c r="AJ54" s="10">
        <f>Assumptions!$E$16</f>
        <v>0.5</v>
      </c>
      <c r="AK54" s="10">
        <f t="shared" si="17"/>
        <v>5.7307487334035256</v>
      </c>
      <c r="AL54" s="10">
        <f t="shared" si="11"/>
        <v>5.7307487334035256</v>
      </c>
      <c r="AM54">
        <f t="shared" si="12"/>
        <v>4.5603384938352427</v>
      </c>
    </row>
    <row r="55" spans="1:39" x14ac:dyDescent="0.2">
      <c r="A55" s="516"/>
      <c r="B55" s="516"/>
      <c r="C55" s="516"/>
      <c r="D55" s="516"/>
      <c r="E55" s="518"/>
      <c r="F55" s="55" t="s">
        <v>188</v>
      </c>
      <c r="G55" s="10">
        <f>'PDB_woody perennials'!K49</f>
        <v>1.6145223657882121E-2</v>
      </c>
      <c r="H55" s="80">
        <f>'PDB_woody perennials'!G49</f>
        <v>89.29107648725892</v>
      </c>
      <c r="I55" s="10">
        <f>'PDB_woody perennials'!J49</f>
        <v>1394.1234713612951</v>
      </c>
      <c r="J55" s="10">
        <f>Assumptions!$E$16</f>
        <v>0.5</v>
      </c>
      <c r="K55" s="10">
        <f>'PDB_woody perennials'!K153</f>
        <v>1.6699900412650549E-2</v>
      </c>
      <c r="L55" s="80">
        <f>'PDB_woody perennials'!G153</f>
        <v>87.798501954040233</v>
      </c>
      <c r="M55" s="10">
        <f>'PDB_woody perennials'!J153</f>
        <v>1453.7494976600342</v>
      </c>
      <c r="N55" s="10">
        <f t="shared" si="13"/>
        <v>59.626026298739134</v>
      </c>
      <c r="O55" s="10">
        <f>Assumptions!$E$16</f>
        <v>0.5</v>
      </c>
      <c r="P55" s="10">
        <f t="shared" si="1"/>
        <v>1.8255392855168813</v>
      </c>
      <c r="Q55" s="10">
        <f t="shared" si="8"/>
        <v>1.8255392855168813</v>
      </c>
      <c r="R55" s="10">
        <f>'PDB_woody perennials'!K256</f>
        <v>1.7635160554807221E-2</v>
      </c>
      <c r="S55" s="80">
        <f>'PDB_woody perennials'!G256</f>
        <v>89.407843130387207</v>
      </c>
      <c r="T55" s="10">
        <f>'PDB_woody perennials'!J256</f>
        <v>1544.1142759532399</v>
      </c>
      <c r="U55" s="10">
        <f t="shared" si="14"/>
        <v>90.364778293205745</v>
      </c>
      <c r="V55" s="10">
        <f>Assumptions!$E$16</f>
        <v>0.5</v>
      </c>
      <c r="W55" s="10">
        <f t="shared" si="3"/>
        <v>2.9215951851171096</v>
      </c>
      <c r="X55" s="10">
        <f t="shared" si="9"/>
        <v>2.9215951851171096</v>
      </c>
      <c r="Y55" s="10">
        <f>'PDB_woody perennials'!K359</f>
        <v>1.8622798945449996E-2</v>
      </c>
      <c r="Z55" s="80">
        <f>'PDB_woody perennials'!G359</f>
        <v>91.046683432166205</v>
      </c>
      <c r="AA55" s="10">
        <f>'PDB_woody perennials'!J359</f>
        <v>1640.096110808892</v>
      </c>
      <c r="AB55" s="10">
        <f t="shared" si="15"/>
        <v>95.981834855652096</v>
      </c>
      <c r="AC55" s="10">
        <f>Assumptions!$E$16</f>
        <v>0.5</v>
      </c>
      <c r="AD55" s="10">
        <f t="shared" si="5"/>
        <v>3.2769924237090216</v>
      </c>
      <c r="AE55" s="10">
        <f t="shared" si="10"/>
        <v>3.2769924237090216</v>
      </c>
      <c r="AF55" s="10">
        <f>'PDB_woody perennials'!K462</f>
        <v>1.966574897261799E-2</v>
      </c>
      <c r="AG55" s="80">
        <f>'PDB_woody perennials'!G462</f>
        <v>92.715563576544</v>
      </c>
      <c r="AH55" s="10">
        <f>'PDB_woody perennials'!J462</f>
        <v>1742.044157340536</v>
      </c>
      <c r="AI55" s="10">
        <f t="shared" si="16"/>
        <v>101.94804653164397</v>
      </c>
      <c r="AJ55" s="10">
        <f>Assumptions!$E$16</f>
        <v>0.5</v>
      </c>
      <c r="AK55" s="10">
        <f t="shared" si="17"/>
        <v>3.675621934123495</v>
      </c>
      <c r="AL55" s="10">
        <f t="shared" si="11"/>
        <v>3.675621934123495</v>
      </c>
      <c r="AM55">
        <f t="shared" si="12"/>
        <v>2.9249372071166269</v>
      </c>
    </row>
    <row r="56" spans="1:39" ht="14.5" customHeight="1" x14ac:dyDescent="0.2">
      <c r="A56" s="584" t="s">
        <v>19</v>
      </c>
      <c r="B56" s="584"/>
      <c r="C56" s="584"/>
      <c r="D56" s="584" t="s">
        <v>35</v>
      </c>
      <c r="E56" s="587">
        <f>Assumptions!D71</f>
        <v>9034.3230000000021</v>
      </c>
      <c r="F56" s="10" t="s">
        <v>192</v>
      </c>
      <c r="G56" s="10">
        <f>'PDB_woody perennials'!K50</f>
        <v>2.647528075714629E-2</v>
      </c>
      <c r="H56" s="80">
        <f>'PDB_woody perennials'!G50</f>
        <v>669.68307365444207</v>
      </c>
      <c r="I56" s="10">
        <f>'PDB_woody perennials'!J50</f>
        <v>1792.4844091554303</v>
      </c>
      <c r="J56" s="10">
        <f>Assumptions!$E$16</f>
        <v>0.5</v>
      </c>
      <c r="K56" s="10">
        <f>'PDB_woody perennials'!K154</f>
        <v>2.7384851483643328E-2</v>
      </c>
      <c r="L56" s="80">
        <f>'PDB_woody perennials'!G154</f>
        <v>658.48876465530191</v>
      </c>
      <c r="M56" s="10">
        <f>'PDB_woody perennials'!J154</f>
        <v>1869.1481514393292</v>
      </c>
      <c r="N56" s="10">
        <f t="shared" si="13"/>
        <v>76.663742283898955</v>
      </c>
      <c r="O56" s="10">
        <f>Assumptions!$E$16</f>
        <v>0.5</v>
      </c>
      <c r="P56" s="10">
        <f t="shared" si="1"/>
        <v>3.8489461938122802</v>
      </c>
      <c r="Q56" s="10">
        <f t="shared" si="8"/>
        <v>3.8489461938122802</v>
      </c>
      <c r="R56" s="10">
        <f>'PDB_woody perennials'!K257</f>
        <v>2.8918510934218856E-2</v>
      </c>
      <c r="S56" s="80">
        <f>'PDB_woody perennials'!G257</f>
        <v>670.55882347790418</v>
      </c>
      <c r="T56" s="10">
        <f>'PDB_woody perennials'!J257</f>
        <v>1985.3340270484634</v>
      </c>
      <c r="U56" s="10">
        <f t="shared" si="14"/>
        <v>116.1858756091342</v>
      </c>
      <c r="V56" s="10">
        <f>Assumptions!$E$16</f>
        <v>0.5</v>
      </c>
      <c r="W56" s="10">
        <f t="shared" si="3"/>
        <v>6.1598579427083218</v>
      </c>
      <c r="X56" s="10">
        <f t="shared" si="9"/>
        <v>6.1598579427083218</v>
      </c>
      <c r="Y56" s="10">
        <f>'PDB_woody perennials'!K360</f>
        <v>3.053806134943024E-2</v>
      </c>
      <c r="Z56" s="80">
        <f>'PDB_woody perennials'!G360</f>
        <v>682.85012574124664</v>
      </c>
      <c r="AA56" s="10">
        <f>'PDB_woody perennials'!J360</f>
        <v>2108.7419934697537</v>
      </c>
      <c r="AB56" s="10">
        <f t="shared" si="15"/>
        <v>123.40796642129021</v>
      </c>
      <c r="AC56" s="10">
        <f>Assumptions!$E$16</f>
        <v>0.5</v>
      </c>
      <c r="AD56" s="10">
        <f t="shared" si="5"/>
        <v>6.909173424233277</v>
      </c>
      <c r="AE56" s="10">
        <f t="shared" si="10"/>
        <v>6.909173424233277</v>
      </c>
      <c r="AF56" s="10">
        <f>'PDB_woody perennials'!K463</f>
        <v>3.224831296130342E-2</v>
      </c>
      <c r="AG56" s="80">
        <f>'PDB_woody perennials'!G463</f>
        <v>695.36672682408005</v>
      </c>
      <c r="AH56" s="10">
        <f>'PDB_woody perennials'!J463</f>
        <v>2239.8209744249953</v>
      </c>
      <c r="AI56" s="10">
        <f t="shared" si="16"/>
        <v>131.0789809552416</v>
      </c>
      <c r="AJ56" s="10">
        <f>Assumptions!$E$16</f>
        <v>0.5</v>
      </c>
      <c r="AK56" s="10">
        <f t="shared" si="17"/>
        <v>7.7496393342378305</v>
      </c>
      <c r="AL56" s="10">
        <f t="shared" si="11"/>
        <v>7.7496393342378305</v>
      </c>
      <c r="AM56">
        <f t="shared" si="12"/>
        <v>6.1669042237479275</v>
      </c>
    </row>
    <row r="57" spans="1:39" x14ac:dyDescent="0.2">
      <c r="A57" s="585"/>
      <c r="B57" s="585"/>
      <c r="C57" s="585"/>
      <c r="D57" s="585"/>
      <c r="E57" s="588"/>
      <c r="F57" s="10" t="s">
        <v>193</v>
      </c>
      <c r="G57" s="10">
        <f>'PDB_woody perennials'!K51</f>
        <v>4.0695265392809866E-3</v>
      </c>
      <c r="H57" s="80">
        <f>'PDB_woody perennials'!G51</f>
        <v>334.84153682722103</v>
      </c>
      <c r="I57" s="10">
        <f>'PDB_woody perennials'!J51</f>
        <v>228.13715782422352</v>
      </c>
      <c r="J57" s="10">
        <f>Assumptions!$E$16</f>
        <v>0.5</v>
      </c>
      <c r="K57" s="10">
        <f>'PDB_woody perennials'!K155</f>
        <v>4.2093370381680916E-3</v>
      </c>
      <c r="L57" s="80">
        <f>'PDB_woody perennials'!G155</f>
        <v>329.24438232765095</v>
      </c>
      <c r="M57" s="10">
        <f>'PDB_woody perennials'!J155</f>
        <v>237.89448022183259</v>
      </c>
      <c r="N57" s="10">
        <f t="shared" si="13"/>
        <v>9.7573223976090731</v>
      </c>
      <c r="O57" s="10">
        <f>Assumptions!$E$16</f>
        <v>0.5</v>
      </c>
      <c r="P57" s="10">
        <f t="shared" si="1"/>
        <v>7.5298407362938746E-2</v>
      </c>
      <c r="Q57" s="10">
        <f t="shared" si="8"/>
        <v>7.5298407362938746E-2</v>
      </c>
      <c r="R57" s="10">
        <f>'PDB_woody perennials'!K258</f>
        <v>4.4450764772919439E-3</v>
      </c>
      <c r="S57" s="80">
        <f>'PDB_woody perennials'!G258</f>
        <v>335.27941173895209</v>
      </c>
      <c r="T57" s="10">
        <f>'PDB_woody perennials'!J258</f>
        <v>252.68195357747297</v>
      </c>
      <c r="U57" s="10">
        <f t="shared" si="14"/>
        <v>14.787473355640373</v>
      </c>
      <c r="V57" s="10">
        <f>Assumptions!$E$16</f>
        <v>0.5</v>
      </c>
      <c r="W57" s="10">
        <f t="shared" si="3"/>
        <v>0.12050765828152037</v>
      </c>
      <c r="X57" s="10">
        <f t="shared" si="9"/>
        <v>0.12050765828152037</v>
      </c>
      <c r="Y57" s="10">
        <f>'PDB_woody perennials'!K361</f>
        <v>4.6940182527111622E-3</v>
      </c>
      <c r="Z57" s="80">
        <f>'PDB_woody perennials'!G361</f>
        <v>341.42506287062332</v>
      </c>
      <c r="AA57" s="10">
        <f>'PDB_woody perennials'!J361</f>
        <v>268.38861332213753</v>
      </c>
      <c r="AB57" s="10">
        <f t="shared" si="15"/>
        <v>15.706659744664563</v>
      </c>
      <c r="AC57" s="10">
        <f>Assumptions!$E$16</f>
        <v>0.5</v>
      </c>
      <c r="AD57" s="10">
        <f t="shared" si="5"/>
        <v>0.13516680380606169</v>
      </c>
      <c r="AE57" s="10">
        <f t="shared" si="10"/>
        <v>0.13516680380606169</v>
      </c>
      <c r="AF57" s="10">
        <f>'PDB_woody perennials'!K464</f>
        <v>4.9569017472133837E-3</v>
      </c>
      <c r="AG57" s="80">
        <f>'PDB_woody perennials'!G464</f>
        <v>347.68336341204002</v>
      </c>
      <c r="AH57" s="10">
        <f>'PDB_woody perennials'!J464</f>
        <v>285.07159589810038</v>
      </c>
      <c r="AI57" s="10">
        <f t="shared" si="16"/>
        <v>16.682982575962853</v>
      </c>
      <c r="AJ57" s="10">
        <f>Assumptions!$E$16</f>
        <v>0.5</v>
      </c>
      <c r="AK57" s="10">
        <f t="shared" si="17"/>
        <v>0.15160916004578795</v>
      </c>
      <c r="AL57" s="10">
        <f t="shared" si="11"/>
        <v>0.15160916004578795</v>
      </c>
      <c r="AM57">
        <f t="shared" si="12"/>
        <v>0.1206455073740772</v>
      </c>
    </row>
    <row r="58" spans="1:39" x14ac:dyDescent="0.2">
      <c r="A58" s="585"/>
      <c r="B58" s="585"/>
      <c r="C58" s="585"/>
      <c r="D58" s="585"/>
      <c r="E58" s="588"/>
      <c r="F58" s="10" t="s">
        <v>190</v>
      </c>
      <c r="G58" s="10">
        <f>'PDB_woody perennials'!K52</f>
        <v>3.1580356460440731E-2</v>
      </c>
      <c r="H58" s="80">
        <f>'PDB_woody perennials'!G52</f>
        <v>334.84153682722103</v>
      </c>
      <c r="I58" s="10">
        <f>'PDB_woody perennials'!J52</f>
        <v>2457.2473323008339</v>
      </c>
      <c r="J58" s="10">
        <f>Assumptions!$E$16</f>
        <v>0.5</v>
      </c>
      <c r="K58" s="10">
        <f>'PDB_woody perennials'!K156</f>
        <v>3.2665314464559531E-2</v>
      </c>
      <c r="L58" s="80">
        <f>'PDB_woody perennials'!G156</f>
        <v>329.24438232765095</v>
      </c>
      <c r="M58" s="10">
        <f>'PDB_woody perennials'!J156</f>
        <v>2562.3426822236097</v>
      </c>
      <c r="N58" s="10">
        <f t="shared" si="13"/>
        <v>105.09534992277577</v>
      </c>
      <c r="O58" s="10">
        <f>Assumptions!$E$16</f>
        <v>0.5</v>
      </c>
      <c r="P58" s="10">
        <f t="shared" si="1"/>
        <v>6.2937831989823856</v>
      </c>
      <c r="Q58" s="10">
        <f t="shared" si="8"/>
        <v>6.2937831989823856</v>
      </c>
      <c r="R58" s="10">
        <f>'PDB_woody perennials'!K259</f>
        <v>3.4494700622250248E-2</v>
      </c>
      <c r="S58" s="80">
        <f>'PDB_woody perennials'!G259</f>
        <v>335.27941173895209</v>
      </c>
      <c r="T58" s="10">
        <f>'PDB_woody perennials'!J259</f>
        <v>2721.6173913554499</v>
      </c>
      <c r="U58" s="10">
        <f t="shared" si="14"/>
        <v>159.27470913184015</v>
      </c>
      <c r="V58" s="10">
        <f>Assumptions!$E$16</f>
        <v>0.5</v>
      </c>
      <c r="W58" s="10">
        <f t="shared" si="3"/>
        <v>10.072577915031159</v>
      </c>
      <c r="X58" s="10">
        <f t="shared" si="9"/>
        <v>10.072577915031159</v>
      </c>
      <c r="Y58" s="10">
        <f>'PDB_woody perennials'!K362</f>
        <v>3.642653960394733E-2</v>
      </c>
      <c r="Z58" s="80">
        <f>'PDB_woody perennials'!G362</f>
        <v>341.42506287062332</v>
      </c>
      <c r="AA58" s="10">
        <f>'PDB_woody perennials'!J362</f>
        <v>2890.792584581407</v>
      </c>
      <c r="AB58" s="10">
        <f t="shared" si="15"/>
        <v>169.17519322595717</v>
      </c>
      <c r="AC58" s="10">
        <f>Assumptions!$E$16</f>
        <v>0.5</v>
      </c>
      <c r="AD58" s="10">
        <f t="shared" si="5"/>
        <v>11.297855939426412</v>
      </c>
      <c r="AE58" s="10">
        <f t="shared" si="10"/>
        <v>11.297855939426412</v>
      </c>
      <c r="AF58" s="10">
        <f>'PDB_woody perennials'!K465</f>
        <v>3.8466569170977315E-2</v>
      </c>
      <c r="AG58" s="80">
        <f>'PDB_woody perennials'!G465</f>
        <v>347.68336341204002</v>
      </c>
      <c r="AH58" s="10">
        <f>'PDB_woody perennials'!J465</f>
        <v>3070.4836740145047</v>
      </c>
      <c r="AI58" s="10">
        <f t="shared" si="16"/>
        <v>179.69108943309766</v>
      </c>
      <c r="AJ58" s="10">
        <f>Assumptions!$E$16</f>
        <v>0.5</v>
      </c>
      <c r="AK58" s="10">
        <f t="shared" si="17"/>
        <v>12.672182821991955</v>
      </c>
      <c r="AL58" s="10">
        <f t="shared" si="11"/>
        <v>12.672182821991955</v>
      </c>
      <c r="AM58">
        <f t="shared" si="12"/>
        <v>10.084099968857977</v>
      </c>
    </row>
    <row r="59" spans="1:39" x14ac:dyDescent="0.2">
      <c r="A59" s="585"/>
      <c r="B59" s="585"/>
      <c r="C59" s="585"/>
      <c r="D59" s="585"/>
      <c r="E59" s="588"/>
      <c r="F59" s="10" t="s">
        <v>186</v>
      </c>
      <c r="G59" s="10">
        <f>'PDB_woody perennials'!K53</f>
        <v>8.305156202614258E-3</v>
      </c>
      <c r="H59" s="80">
        <f>'PDB_woody perennials'!G53</f>
        <v>334.84153682722103</v>
      </c>
      <c r="I59" s="10">
        <f>'PDB_woody perennials'!J53</f>
        <v>521.8775007377468</v>
      </c>
      <c r="J59" s="10">
        <f>Assumptions!$E$16</f>
        <v>0.5</v>
      </c>
      <c r="K59" s="10">
        <f>'PDB_woody perennials'!K157</f>
        <v>8.5904837513634501E-3</v>
      </c>
      <c r="L59" s="80">
        <f>'PDB_woody perennials'!G157</f>
        <v>329.24438232765095</v>
      </c>
      <c r="M59" s="10">
        <f>'PDB_woody perennials'!J157</f>
        <v>544.19796389824648</v>
      </c>
      <c r="N59" s="10">
        <f t="shared" si="13"/>
        <v>22.320463160499685</v>
      </c>
      <c r="O59" s="10">
        <f>Assumptions!$E$16</f>
        <v>0.5</v>
      </c>
      <c r="P59" s="10">
        <f t="shared" si="1"/>
        <v>0.35152988952249492</v>
      </c>
      <c r="Q59" s="10">
        <f t="shared" si="8"/>
        <v>0.35152988952249492</v>
      </c>
      <c r="R59" s="10">
        <f>'PDB_woody perennials'!K260</f>
        <v>9.0715846475345786E-3</v>
      </c>
      <c r="S59" s="80">
        <f>'PDB_woody perennials'!G260</f>
        <v>335.27941173895209</v>
      </c>
      <c r="T59" s="10">
        <f>'PDB_woody perennials'!J260</f>
        <v>578.02520059510175</v>
      </c>
      <c r="U59" s="10">
        <f t="shared" si="14"/>
        <v>33.827236696855266</v>
      </c>
      <c r="V59" s="10">
        <f>Assumptions!$E$16</f>
        <v>0.5</v>
      </c>
      <c r="W59" s="10">
        <f t="shared" si="3"/>
        <v>0.56258884199413606</v>
      </c>
      <c r="X59" s="10">
        <f t="shared" si="9"/>
        <v>0.56258884199413606</v>
      </c>
      <c r="Y59" s="10">
        <f>'PDB_woody perennials'!K363</f>
        <v>9.579629087165635E-3</v>
      </c>
      <c r="Z59" s="80">
        <f>'PDB_woody perennials'!G363</f>
        <v>341.42506287062332</v>
      </c>
      <c r="AA59" s="10">
        <f>'PDB_woody perennials'!J363</f>
        <v>613.95513156583434</v>
      </c>
      <c r="AB59" s="10">
        <f t="shared" si="15"/>
        <v>35.929930970732585</v>
      </c>
      <c r="AC59" s="10">
        <f>Assumptions!$E$16</f>
        <v>0.5</v>
      </c>
      <c r="AD59" s="10">
        <f t="shared" si="5"/>
        <v>0.63102492168298607</v>
      </c>
      <c r="AE59" s="10">
        <f t="shared" si="10"/>
        <v>0.63102492168298607</v>
      </c>
      <c r="AF59" s="10">
        <f>'PDB_woody perennials'!K466</f>
        <v>1.0116126014721187E-2</v>
      </c>
      <c r="AG59" s="80">
        <f>'PDB_woody perennials'!G466</f>
        <v>347.68336341204002</v>
      </c>
      <c r="AH59" s="10">
        <f>'PDB_woody perennials'!J466</f>
        <v>652.11845986636217</v>
      </c>
      <c r="AI59" s="10">
        <f t="shared" si="16"/>
        <v>38.163328300527837</v>
      </c>
      <c r="AJ59" s="10">
        <f>Assumptions!$E$16</f>
        <v>0.5</v>
      </c>
      <c r="AK59" s="10">
        <f t="shared" si="17"/>
        <v>0.70778590342041081</v>
      </c>
      <c r="AL59" s="10">
        <f t="shared" si="11"/>
        <v>0.70778590342041081</v>
      </c>
      <c r="AM59">
        <f t="shared" si="12"/>
        <v>0.56323238915500695</v>
      </c>
    </row>
    <row r="60" spans="1:39" x14ac:dyDescent="0.2">
      <c r="A60" s="585"/>
      <c r="B60" s="585"/>
      <c r="C60" s="585"/>
      <c r="D60" s="585"/>
      <c r="E60" s="588"/>
      <c r="F60" s="10" t="s">
        <v>194</v>
      </c>
      <c r="G60" s="10">
        <f>'PDB_woody perennials'!K54</f>
        <v>0.1415267826560492</v>
      </c>
      <c r="H60" s="80">
        <f>'PDB_woody perennials'!G54</f>
        <v>1004.5246104816628</v>
      </c>
      <c r="I60" s="10">
        <f>'PDB_woody perennials'!J54</f>
        <v>11742.444998741643</v>
      </c>
      <c r="J60" s="10">
        <f>Assumptions!$E$16</f>
        <v>0.5</v>
      </c>
      <c r="K60" s="10">
        <f>'PDB_woody perennials'!K158</f>
        <v>0.14638900185969272</v>
      </c>
      <c r="L60" s="80">
        <f>'PDB_woody perennials'!G158</f>
        <v>987.73314698295258</v>
      </c>
      <c r="M60" s="10">
        <f>'PDB_woody perennials'!J158</f>
        <v>12244.664026460021</v>
      </c>
      <c r="N60" s="10">
        <f t="shared" si="13"/>
        <v>502.21902771837813</v>
      </c>
      <c r="O60" s="10">
        <f>Assumptions!$E$16</f>
        <v>0.5</v>
      </c>
      <c r="P60" s="10">
        <f t="shared" si="1"/>
        <v>134.785460668171</v>
      </c>
      <c r="Q60" s="10">
        <f t="shared" si="8"/>
        <v>134.785460668171</v>
      </c>
      <c r="R60" s="10">
        <f>'PDB_woody perennials'!K261</f>
        <v>0.15458736204786225</v>
      </c>
      <c r="S60" s="80">
        <f>'PDB_woody perennials'!G261</f>
        <v>1005.838235216856</v>
      </c>
      <c r="T60" s="10">
        <f>'PDB_woody perennials'!J261</f>
        <v>13005.789895674003</v>
      </c>
      <c r="U60" s="10">
        <f t="shared" si="14"/>
        <v>761.12586921398179</v>
      </c>
      <c r="V60" s="10">
        <f>Assumptions!$E$16</f>
        <v>0.5</v>
      </c>
      <c r="W60" s="10">
        <f t="shared" si="3"/>
        <v>215.71080723165537</v>
      </c>
      <c r="X60" s="10">
        <f t="shared" si="9"/>
        <v>215.71080723165537</v>
      </c>
      <c r="Y60" s="10">
        <f>'PDB_woody perennials'!K364</f>
        <v>0.16324486266954177</v>
      </c>
      <c r="Z60" s="80">
        <f>'PDB_woody perennials'!G364</f>
        <v>1024.2751886118697</v>
      </c>
      <c r="AA60" s="10">
        <f>'PDB_woody perennials'!J364</f>
        <v>13814.227196833759</v>
      </c>
      <c r="AB60" s="10">
        <f t="shared" si="15"/>
        <v>808.43730115975632</v>
      </c>
      <c r="AC60" s="10">
        <f>Assumptions!$E$16</f>
        <v>0.5</v>
      </c>
      <c r="AD60" s="10">
        <f t="shared" si="5"/>
        <v>241.95093304205895</v>
      </c>
      <c r="AE60" s="10">
        <f t="shared" si="10"/>
        <v>241.95093304205895</v>
      </c>
      <c r="AF60" s="10">
        <f>'PDB_woody perennials'!K467</f>
        <v>0.17238721739586133</v>
      </c>
      <c r="AG60" s="80">
        <f>'PDB_woody perennials'!G467</f>
        <v>1043.0500902361198</v>
      </c>
      <c r="AH60" s="10">
        <f>'PDB_woody perennials'!J467</f>
        <v>14672.916799095492</v>
      </c>
      <c r="AI60" s="10">
        <f t="shared" si="16"/>
        <v>858.68960226173294</v>
      </c>
      <c r="AJ60" s="10">
        <f>Assumptions!$E$16</f>
        <v>0.5</v>
      </c>
      <c r="AK60" s="10">
        <f t="shared" si="17"/>
        <v>271.38303709120828</v>
      </c>
      <c r="AL60" s="10">
        <f t="shared" si="11"/>
        <v>271.38303709120828</v>
      </c>
      <c r="AM60">
        <f t="shared" si="12"/>
        <v>215.95755950827339</v>
      </c>
    </row>
    <row r="61" spans="1:39" x14ac:dyDescent="0.2">
      <c r="A61" s="585"/>
      <c r="B61" s="585"/>
      <c r="C61" s="585"/>
      <c r="D61" s="585"/>
      <c r="E61" s="588"/>
      <c r="F61" s="10" t="s">
        <v>195</v>
      </c>
      <c r="G61" s="10">
        <f>'PDB_woody perennials'!K55</f>
        <v>1.5572167879901731E-3</v>
      </c>
      <c r="H61" s="80">
        <f>'PDB_woody perennials'!G55</f>
        <v>111.61384560907365</v>
      </c>
      <c r="I61" s="10">
        <f>'PDB_woody perennials'!J55</f>
        <v>89.246141806828675</v>
      </c>
      <c r="J61" s="10">
        <f>Assumptions!$E$16</f>
        <v>0.5</v>
      </c>
      <c r="K61" s="10">
        <f>'PDB_woody perennials'!K159</f>
        <v>1.6107157033806467E-3</v>
      </c>
      <c r="L61" s="80">
        <f>'PDB_woody perennials'!G159</f>
        <v>109.7481274425503</v>
      </c>
      <c r="M61" s="10">
        <f>'PDB_woody perennials'!J159</f>
        <v>93.063158669215085</v>
      </c>
      <c r="N61" s="10">
        <f t="shared" si="13"/>
        <v>3.81701686238641</v>
      </c>
      <c r="O61" s="10">
        <f>Assumptions!$E$16</f>
        <v>0.5</v>
      </c>
      <c r="P61" s="10">
        <f t="shared" si="1"/>
        <v>1.1271569833909945E-2</v>
      </c>
      <c r="Q61" s="10">
        <f t="shared" si="8"/>
        <v>1.1271569833909945E-2</v>
      </c>
      <c r="R61" s="10">
        <f>'PDB_woody perennials'!K262</f>
        <v>1.7009221214127335E-3</v>
      </c>
      <c r="S61" s="80">
        <f>'PDB_woody perennials'!G262</f>
        <v>111.75980391298401</v>
      </c>
      <c r="T61" s="10">
        <f>'PDB_woody perennials'!J262</f>
        <v>98.847946016653893</v>
      </c>
      <c r="U61" s="10">
        <f t="shared" si="14"/>
        <v>5.7847873474388081</v>
      </c>
      <c r="V61" s="10">
        <f>Assumptions!$E$16</f>
        <v>0.5</v>
      </c>
      <c r="W61" s="10">
        <f t="shared" si="3"/>
        <v>1.8039033406033123E-2</v>
      </c>
      <c r="X61" s="10">
        <f t="shared" si="9"/>
        <v>1.8039033406033123E-2</v>
      </c>
      <c r="Y61" s="10">
        <f>'PDB_woody perennials'!K365</f>
        <v>1.7961804538435564E-3</v>
      </c>
      <c r="Z61" s="80">
        <f>'PDB_woody perennials'!G365</f>
        <v>113.80835429020775</v>
      </c>
      <c r="AA61" s="10">
        <f>'PDB_woody perennials'!J365</f>
        <v>104.99231458972088</v>
      </c>
      <c r="AB61" s="10">
        <f t="shared" si="15"/>
        <v>6.1443685730669841</v>
      </c>
      <c r="AC61" s="10">
        <f>Assumptions!$E$16</f>
        <v>0.5</v>
      </c>
      <c r="AD61" s="10">
        <f t="shared" si="5"/>
        <v>2.0233390342281492E-2</v>
      </c>
      <c r="AE61" s="10">
        <f t="shared" si="10"/>
        <v>2.0233390342281492E-2</v>
      </c>
      <c r="AF61" s="10">
        <f>'PDB_woody perennials'!K468</f>
        <v>1.8967736277602227E-3</v>
      </c>
      <c r="AG61" s="80">
        <f>'PDB_woody perennials'!G468</f>
        <v>115.89445447067999</v>
      </c>
      <c r="AH61" s="10">
        <f>'PDB_woody perennials'!J468</f>
        <v>111.51861588555089</v>
      </c>
      <c r="AI61" s="10">
        <f t="shared" si="16"/>
        <v>6.5263012958300095</v>
      </c>
      <c r="AJ61" s="10">
        <f>Assumptions!$E$16</f>
        <v>0.5</v>
      </c>
      <c r="AK61" s="10">
        <f t="shared" si="17"/>
        <v>2.2694679672037504E-2</v>
      </c>
      <c r="AL61" s="10">
        <f t="shared" si="11"/>
        <v>2.2694679672037504E-2</v>
      </c>
      <c r="AM61">
        <f t="shared" si="12"/>
        <v>1.8059668313565515E-2</v>
      </c>
    </row>
    <row r="62" spans="1:39" x14ac:dyDescent="0.2">
      <c r="A62" s="585"/>
      <c r="B62" s="585"/>
      <c r="C62" s="585"/>
      <c r="D62" s="585"/>
      <c r="E62" s="588"/>
      <c r="F62" s="10" t="s">
        <v>196</v>
      </c>
      <c r="G62" s="10">
        <f>'PDB_woody perennials'!K56</f>
        <v>1.4014951091911563E-2</v>
      </c>
      <c r="H62" s="80">
        <f>'PDB_woody perennials'!G56</f>
        <v>111.61384560907365</v>
      </c>
      <c r="I62" s="10">
        <f>'PDB_woody perennials'!J56</f>
        <v>1141.5915912537714</v>
      </c>
      <c r="J62" s="10">
        <f>Assumptions!$E$16</f>
        <v>0.5</v>
      </c>
      <c r="K62" s="10">
        <f>'PDB_woody perennials'!K160</f>
        <v>1.4496441330425828E-2</v>
      </c>
      <c r="L62" s="80">
        <f>'PDB_woody perennials'!G160</f>
        <v>109.7481274425503</v>
      </c>
      <c r="M62" s="10">
        <f>'PDB_woody perennials'!J160</f>
        <v>1190.4169439867337</v>
      </c>
      <c r="N62" s="10">
        <f t="shared" si="13"/>
        <v>48.825352732962301</v>
      </c>
      <c r="O62" s="10">
        <f>Assumptions!$E$16</f>
        <v>0.5</v>
      </c>
      <c r="P62" s="10">
        <f t="shared" si="1"/>
        <v>1.2976220791063462</v>
      </c>
      <c r="Q62" s="10">
        <f t="shared" si="8"/>
        <v>1.2976220791063462</v>
      </c>
      <c r="R62" s="10">
        <f>'PDB_woody perennials'!K263</f>
        <v>1.5308299092714609E-2</v>
      </c>
      <c r="S62" s="80">
        <f>'PDB_woody perennials'!G263</f>
        <v>111.75980391298401</v>
      </c>
      <c r="T62" s="10">
        <f>'PDB_woody perennials'!J263</f>
        <v>1264.4130233614733</v>
      </c>
      <c r="U62" s="10">
        <f t="shared" si="14"/>
        <v>73.996079374739566</v>
      </c>
      <c r="V62" s="10">
        <f>Assumptions!$E$16</f>
        <v>0.5</v>
      </c>
      <c r="W62" s="10">
        <f t="shared" si="3"/>
        <v>2.0767158770540672</v>
      </c>
      <c r="X62" s="10">
        <f t="shared" si="9"/>
        <v>2.0767158770540672</v>
      </c>
      <c r="Y62" s="10">
        <f>'PDB_woody perennials'!K366</f>
        <v>1.616562408459201E-2</v>
      </c>
      <c r="Z62" s="80">
        <f>'PDB_woody perennials'!G366</f>
        <v>113.80835429020775</v>
      </c>
      <c r="AA62" s="10">
        <f>'PDB_woody perennials'!J366</f>
        <v>1343.0086842446005</v>
      </c>
      <c r="AB62" s="10">
        <f t="shared" si="15"/>
        <v>78.595660883127266</v>
      </c>
      <c r="AC62" s="10">
        <f>Assumptions!$E$16</f>
        <v>0.5</v>
      </c>
      <c r="AD62" s="10">
        <f t="shared" si="5"/>
        <v>2.3293378322806322</v>
      </c>
      <c r="AE62" s="10">
        <f t="shared" si="10"/>
        <v>2.3293378322806322</v>
      </c>
      <c r="AF62" s="10">
        <f>'PDB_woody perennials'!K469</f>
        <v>1.7070962649842002E-2</v>
      </c>
      <c r="AG62" s="80">
        <f>'PDB_woody perennials'!G469</f>
        <v>115.89445447067999</v>
      </c>
      <c r="AH62" s="10">
        <f>'PDB_woody perennials'!J469</f>
        <v>1426.4898357036104</v>
      </c>
      <c r="AI62" s="10">
        <f t="shared" si="16"/>
        <v>83.48115145900988</v>
      </c>
      <c r="AJ62" s="10">
        <f>Assumptions!$E$16</f>
        <v>0.5</v>
      </c>
      <c r="AK62" s="10">
        <f t="shared" si="17"/>
        <v>2.6126899672913613</v>
      </c>
      <c r="AL62" s="10">
        <f t="shared" si="11"/>
        <v>2.6126899672913613</v>
      </c>
      <c r="AM62">
        <f t="shared" si="12"/>
        <v>2.0790914389331019</v>
      </c>
    </row>
    <row r="63" spans="1:39" x14ac:dyDescent="0.2">
      <c r="A63" s="585"/>
      <c r="B63" s="585"/>
      <c r="C63" s="585"/>
      <c r="D63" s="585"/>
      <c r="E63" s="588"/>
      <c r="F63" s="10" t="s">
        <v>197</v>
      </c>
      <c r="G63" s="10">
        <f>'PDB_woody perennials'!K57</f>
        <v>6.2288671519606922E-3</v>
      </c>
      <c r="H63" s="80">
        <f>'PDB_woody perennials'!G57</f>
        <v>111.61384560907365</v>
      </c>
      <c r="I63" s="10">
        <f>'PDB_woody perennials'!J57</f>
        <v>445.63474075627886</v>
      </c>
      <c r="J63" s="10">
        <f>Assumptions!$E$16</f>
        <v>0.5</v>
      </c>
      <c r="K63" s="10">
        <f>'PDB_woody perennials'!K161</f>
        <v>6.4428628135225867E-3</v>
      </c>
      <c r="L63" s="80">
        <f>'PDB_woody perennials'!G161</f>
        <v>109.7481274425503</v>
      </c>
      <c r="M63" s="10">
        <f>'PDB_woody perennials'!J161</f>
        <v>464.69433577623624</v>
      </c>
      <c r="N63" s="10">
        <f t="shared" si="13"/>
        <v>19.059595019957385</v>
      </c>
      <c r="O63" s="10">
        <f>Assumptions!$E$16</f>
        <v>0.5</v>
      </c>
      <c r="P63" s="10">
        <f t="shared" si="1"/>
        <v>0.22513031932395347</v>
      </c>
      <c r="Q63" s="10">
        <f t="shared" si="8"/>
        <v>0.22513031932395347</v>
      </c>
      <c r="R63" s="10">
        <f>'PDB_woody perennials'!K264</f>
        <v>6.803688485650934E-3</v>
      </c>
      <c r="S63" s="80">
        <f>'PDB_woody perennials'!G264</f>
        <v>111.75980391298401</v>
      </c>
      <c r="T63" s="10">
        <f>'PDB_woody perennials'!J264</f>
        <v>493.57964283506584</v>
      </c>
      <c r="U63" s="10">
        <f t="shared" si="14"/>
        <v>28.885307058829596</v>
      </c>
      <c r="V63" s="10">
        <f>Assumptions!$E$16</f>
        <v>0.5</v>
      </c>
      <c r="W63" s="10">
        <f t="shared" si="3"/>
        <v>0.36029882357452608</v>
      </c>
      <c r="X63" s="10">
        <f t="shared" si="9"/>
        <v>0.36029882357452608</v>
      </c>
      <c r="Y63" s="10">
        <f>'PDB_woody perennials'!K367</f>
        <v>7.1847218153742254E-3</v>
      </c>
      <c r="Z63" s="80">
        <f>'PDB_woody perennials'!G367</f>
        <v>113.80835429020775</v>
      </c>
      <c r="AA63" s="10">
        <f>'PDB_woody perennials'!J367</f>
        <v>524.26045480894697</v>
      </c>
      <c r="AB63" s="10">
        <f t="shared" si="15"/>
        <v>30.680811973881134</v>
      </c>
      <c r="AC63" s="10">
        <f>Assumptions!$E$16</f>
        <v>0.5</v>
      </c>
      <c r="AD63" s="10">
        <f t="shared" si="5"/>
        <v>0.40412734835392067</v>
      </c>
      <c r="AE63" s="10">
        <f t="shared" si="10"/>
        <v>0.40412734835392067</v>
      </c>
      <c r="AF63" s="10">
        <f>'PDB_woody perennials'!K470</f>
        <v>7.587094511040891E-3</v>
      </c>
      <c r="AG63" s="80">
        <f>'PDB_woody perennials'!G470</f>
        <v>115.89445447067999</v>
      </c>
      <c r="AH63" s="10">
        <f>'PDB_woody perennials'!J470</f>
        <v>556.84837992462997</v>
      </c>
      <c r="AI63" s="10">
        <f t="shared" si="16"/>
        <v>32.587925115682992</v>
      </c>
      <c r="AJ63" s="10">
        <f>Assumptions!$E$16</f>
        <v>0.5</v>
      </c>
      <c r="AK63" s="10">
        <f t="shared" si="17"/>
        <v>0.45328739091425169</v>
      </c>
      <c r="AL63" s="10">
        <f t="shared" si="11"/>
        <v>0.45328739091425169</v>
      </c>
      <c r="AM63">
        <f t="shared" si="12"/>
        <v>0.36071097054166296</v>
      </c>
    </row>
    <row r="64" spans="1:39" x14ac:dyDescent="0.2">
      <c r="A64" s="585"/>
      <c r="B64" s="585"/>
      <c r="C64" s="585"/>
      <c r="D64" s="585"/>
      <c r="E64" s="588"/>
      <c r="F64" s="55" t="s">
        <v>182</v>
      </c>
      <c r="G64" s="10">
        <f>'PDB_woody perennials'!K58</f>
        <v>0.13204799714658946</v>
      </c>
      <c r="H64" s="80">
        <f>'PDB_woody perennials'!G58</f>
        <v>301.80383852693512</v>
      </c>
      <c r="I64" s="10">
        <f>'PDB_woody perennials'!J58</f>
        <v>13133.859320632351</v>
      </c>
      <c r="J64" s="10">
        <f>Assumptions!$E$16</f>
        <v>0.5</v>
      </c>
      <c r="K64" s="10">
        <f>'PDB_woody perennials'!K162</f>
        <v>0.1365845682144782</v>
      </c>
      <c r="L64" s="80">
        <f>'PDB_woody perennials'!G162</f>
        <v>296.75893660465596</v>
      </c>
      <c r="M64" s="10">
        <f>'PDB_woody perennials'!J162</f>
        <v>13695.588505559721</v>
      </c>
      <c r="N64" s="10">
        <f t="shared" si="13"/>
        <v>561.72918492736972</v>
      </c>
      <c r="O64" s="10">
        <f>Assumptions!$E$16</f>
        <v>0.5</v>
      </c>
      <c r="P64" s="10">
        <f t="shared" si="1"/>
        <v>140.65981999075521</v>
      </c>
      <c r="Q64" s="10">
        <f t="shared" si="8"/>
        <v>140.65981999075521</v>
      </c>
      <c r="R64" s="10">
        <f>'PDB_woody perennials'!K265</f>
        <v>0.14423384153516899</v>
      </c>
      <c r="S64" s="80">
        <f>'PDB_woody perennials'!G265</f>
        <v>302.19850978070872</v>
      </c>
      <c r="T64" s="10">
        <f>'PDB_woody perennials'!J265</f>
        <v>14546.903550477682</v>
      </c>
      <c r="U64" s="10">
        <f t="shared" si="14"/>
        <v>851.31504491796113</v>
      </c>
      <c r="V64" s="10">
        <f>Assumptions!$E$16</f>
        <v>0.5</v>
      </c>
      <c r="W64" s="10">
        <f t="shared" si="3"/>
        <v>225.11213868953789</v>
      </c>
      <c r="X64" s="10">
        <f t="shared" si="9"/>
        <v>225.11213868953789</v>
      </c>
      <c r="Y64" s="10">
        <f>'PDB_woody perennials'!K368</f>
        <v>0.15231150426397178</v>
      </c>
      <c r="Z64" s="80">
        <f>'PDB_woody perennials'!G368</f>
        <v>307.7377900007217</v>
      </c>
      <c r="AA64" s="10">
        <f>'PDB_woody perennials'!J368</f>
        <v>15451.136168482004</v>
      </c>
      <c r="AB64" s="10">
        <f t="shared" si="15"/>
        <v>904.23261800432192</v>
      </c>
      <c r="AC64" s="10">
        <f>Assumptions!$E$16</f>
        <v>0.5</v>
      </c>
      <c r="AD64" s="10">
        <f t="shared" si="5"/>
        <v>252.49588879677731</v>
      </c>
      <c r="AE64" s="10">
        <f t="shared" si="10"/>
        <v>252.49588879677731</v>
      </c>
      <c r="AF64" s="10">
        <f>'PDB_woody perennials'!K471</f>
        <v>0.16084154789357979</v>
      </c>
      <c r="AG64" s="80">
        <f>'PDB_woody perennials'!G471</f>
        <v>313.37860488871866</v>
      </c>
      <c r="AH64" s="10">
        <f>'PDB_woody perennials'!J471</f>
        <v>16411.575705341995</v>
      </c>
      <c r="AI64" s="10">
        <f t="shared" si="16"/>
        <v>960.43953685999077</v>
      </c>
      <c r="AJ64" s="10">
        <f>Assumptions!$E$16</f>
        <v>0.5</v>
      </c>
      <c r="AK64" s="10">
        <f t="shared" si="17"/>
        <v>283.21073323904858</v>
      </c>
      <c r="AL64" s="10">
        <f t="shared" si="11"/>
        <v>283.21073323904858</v>
      </c>
      <c r="AM64">
        <f t="shared" si="12"/>
        <v>225.36964517902976</v>
      </c>
    </row>
    <row r="65" spans="1:39" x14ac:dyDescent="0.2">
      <c r="A65" s="585"/>
      <c r="B65" s="585"/>
      <c r="C65" s="585"/>
      <c r="D65" s="585"/>
      <c r="E65" s="588"/>
      <c r="F65" s="55" t="s">
        <v>187</v>
      </c>
      <c r="G65" s="10">
        <f>'PDB_woody perennials'!K59</f>
        <v>0.22423921747058501</v>
      </c>
      <c r="H65" s="80">
        <f>'PDB_woody perennials'!G59</f>
        <v>111.61384560907365</v>
      </c>
      <c r="I65" s="10">
        <f>'PDB_woody perennials'!J59</f>
        <v>28463.607434982634</v>
      </c>
      <c r="J65" s="10">
        <f>Assumptions!$E$16</f>
        <v>0.5</v>
      </c>
      <c r="K65" s="10">
        <f>'PDB_woody perennials'!K163</f>
        <v>0.23194306128681325</v>
      </c>
      <c r="L65" s="80">
        <f>'PDB_woody perennials'!G163</f>
        <v>109.7481274425503</v>
      </c>
      <c r="M65" s="10">
        <f>'PDB_woody perennials'!J163</f>
        <v>29680.982969029115</v>
      </c>
      <c r="N65" s="10">
        <f t="shared" si="13"/>
        <v>1217.3755340464813</v>
      </c>
      <c r="O65" s="10">
        <f>Assumptions!$E$16</f>
        <v>0.5</v>
      </c>
      <c r="P65" s="10">
        <f t="shared" si="1"/>
        <v>517.66331485441833</v>
      </c>
      <c r="Q65" s="10">
        <f t="shared" si="8"/>
        <v>517.66331485441833</v>
      </c>
      <c r="R65" s="10">
        <f>'PDB_woody perennials'!K266</f>
        <v>0.24493278548343375</v>
      </c>
      <c r="S65" s="80">
        <f>'PDB_woody perennials'!G266</f>
        <v>111.75980391298401</v>
      </c>
      <c r="T65" s="10">
        <f>'PDB_woody perennials'!J266</f>
        <v>31525.946939670521</v>
      </c>
      <c r="U65" s="10">
        <f t="shared" si="14"/>
        <v>1844.9639706414055</v>
      </c>
      <c r="V65" s="10">
        <f>Assumptions!$E$16</f>
        <v>0.5</v>
      </c>
      <c r="W65" s="10">
        <f t="shared" si="3"/>
        <v>828.46896815058847</v>
      </c>
      <c r="X65" s="10">
        <f t="shared" si="9"/>
        <v>828.46896815058847</v>
      </c>
      <c r="Y65" s="10">
        <f>'PDB_woody perennials'!K369</f>
        <v>0.25864998535347217</v>
      </c>
      <c r="Z65" s="80">
        <f>'PDB_woody perennials'!G369</f>
        <v>113.80835429020775</v>
      </c>
      <c r="AA65" s="10">
        <f>'PDB_woody perennials'!J369</f>
        <v>33485.59350207504</v>
      </c>
      <c r="AB65" s="10">
        <f t="shared" si="15"/>
        <v>1959.6465624045195</v>
      </c>
      <c r="AC65" s="10">
        <f>Assumptions!$E$16</f>
        <v>0.5</v>
      </c>
      <c r="AD65" s="10">
        <f t="shared" si="5"/>
        <v>929.24801688383695</v>
      </c>
      <c r="AE65" s="10">
        <f t="shared" si="10"/>
        <v>929.24801688383695</v>
      </c>
      <c r="AF65" s="10">
        <f>'PDB_woody perennials'!K472</f>
        <v>0.27313540239747203</v>
      </c>
      <c r="AG65" s="80">
        <f>'PDB_woody perennials'!G472</f>
        <v>115.89445447067999</v>
      </c>
      <c r="AH65" s="10">
        <f>'PDB_woody perennials'!J472</f>
        <v>35567.051303231325</v>
      </c>
      <c r="AI65" s="10">
        <f t="shared" si="16"/>
        <v>2081.4578011562844</v>
      </c>
      <c r="AJ65" s="10">
        <f>Assumptions!$E$16</f>
        <v>0.5</v>
      </c>
      <c r="AK65" s="10">
        <f t="shared" si="17"/>
        <v>1042.2863258356617</v>
      </c>
      <c r="AL65" s="10">
        <f t="shared" si="11"/>
        <v>1042.2863258356617</v>
      </c>
      <c r="AM65">
        <f t="shared" si="12"/>
        <v>829.41665643112628</v>
      </c>
    </row>
    <row r="66" spans="1:39" x14ac:dyDescent="0.2">
      <c r="A66" s="585"/>
      <c r="B66" s="585"/>
      <c r="C66" s="585"/>
      <c r="D66" s="585"/>
      <c r="E66" s="588"/>
      <c r="F66" s="10" t="s">
        <v>198</v>
      </c>
      <c r="G66" s="10">
        <f>'PDB_woody perennials'!K60</f>
        <v>9.9661874431371082E-3</v>
      </c>
      <c r="H66" s="80">
        <f>'PDB_woody perennials'!G60</f>
        <v>44.64553824362946</v>
      </c>
      <c r="I66" s="10">
        <f>'PDB_woody perennials'!J60</f>
        <v>890.07913686065933</v>
      </c>
      <c r="J66" s="10">
        <f>Assumptions!$E$16</f>
        <v>0.5</v>
      </c>
      <c r="K66" s="10">
        <f>'PDB_woody perennials'!K164</f>
        <v>1.0308580501636138E-2</v>
      </c>
      <c r="L66" s="80">
        <f>'PDB_woody perennials'!G164</f>
        <v>43.899250977020117</v>
      </c>
      <c r="M66" s="10">
        <f>'PDB_woody perennials'!J164</f>
        <v>928.14741640163015</v>
      </c>
      <c r="N66" s="10">
        <f t="shared" si="13"/>
        <v>38.068279540970821</v>
      </c>
      <c r="O66" s="10">
        <f>Assumptions!$E$16</f>
        <v>0.5</v>
      </c>
      <c r="P66" s="10">
        <f t="shared" si="1"/>
        <v>0.71945486104595713</v>
      </c>
      <c r="Q66" s="10">
        <f t="shared" si="8"/>
        <v>0.71945486104595713</v>
      </c>
      <c r="R66" s="10">
        <f>'PDB_woody perennials'!K267</f>
        <v>1.0885901577041494E-2</v>
      </c>
      <c r="S66" s="80">
        <f>'PDB_woody perennials'!G267</f>
        <v>44.703921565193603</v>
      </c>
      <c r="T66" s="10">
        <f>'PDB_woody perennials'!J267</f>
        <v>985.84087434713456</v>
      </c>
      <c r="U66" s="10">
        <f t="shared" si="14"/>
        <v>57.693457945504406</v>
      </c>
      <c r="V66" s="10">
        <f>Assumptions!$E$16</f>
        <v>0.5</v>
      </c>
      <c r="W66" s="10">
        <f t="shared" si="3"/>
        <v>1.1514163921955631</v>
      </c>
      <c r="X66" s="10">
        <f t="shared" si="9"/>
        <v>1.1514163921955631</v>
      </c>
      <c r="Y66" s="10">
        <f>'PDB_woody perennials'!K370</f>
        <v>1.1495554904598762E-2</v>
      </c>
      <c r="Z66" s="80">
        <f>'PDB_woody perennials'!G370</f>
        <v>45.523341716083102</v>
      </c>
      <c r="AA66" s="10">
        <f>'PDB_woody perennials'!J370</f>
        <v>1047.1205461104983</v>
      </c>
      <c r="AB66" s="10">
        <f t="shared" si="15"/>
        <v>61.279671763363694</v>
      </c>
      <c r="AC66" s="10">
        <f>Assumptions!$E$16</f>
        <v>0.5</v>
      </c>
      <c r="AD66" s="10">
        <f t="shared" si="5"/>
        <v>1.2914803573678191</v>
      </c>
      <c r="AE66" s="10">
        <f t="shared" si="10"/>
        <v>1.2914803573678191</v>
      </c>
      <c r="AF66" s="10">
        <f>'PDB_woody perennials'!K473</f>
        <v>1.2139351217665427E-2</v>
      </c>
      <c r="AG66" s="80">
        <f>'PDB_woody perennials'!G473</f>
        <v>46.357781788272</v>
      </c>
      <c r="AH66" s="10">
        <f>'PDB_woody perennials'!J473</f>
        <v>1112.2093500260585</v>
      </c>
      <c r="AI66" s="10">
        <f t="shared" si="16"/>
        <v>65.08880391556022</v>
      </c>
      <c r="AJ66" s="10">
        <f>Assumptions!$E$16</f>
        <v>0.5</v>
      </c>
      <c r="AK66" s="10">
        <f t="shared" si="17"/>
        <v>1.4485823936260271</v>
      </c>
      <c r="AL66" s="10">
        <f t="shared" si="11"/>
        <v>1.4485823936260271</v>
      </c>
      <c r="AM66">
        <f t="shared" si="12"/>
        <v>1.1527335010588415</v>
      </c>
    </row>
    <row r="67" spans="1:39" x14ac:dyDescent="0.2">
      <c r="A67" s="585"/>
      <c r="B67" s="585"/>
      <c r="C67" s="585"/>
      <c r="D67" s="585"/>
      <c r="E67" s="588"/>
      <c r="F67" s="10" t="s">
        <v>173</v>
      </c>
      <c r="G67" s="10">
        <f>'PDB_woody perennials'!K61</f>
        <v>8.9695686988234007E-4</v>
      </c>
      <c r="H67" s="80">
        <f>'PDB_woody perennials'!G61</f>
        <v>44.64553824362946</v>
      </c>
      <c r="I67" s="10">
        <f>'PDB_woody perennials'!J61</f>
        <v>54.494156217764342</v>
      </c>
      <c r="J67" s="10">
        <f>Assumptions!$E$16</f>
        <v>0.5</v>
      </c>
      <c r="K67" s="10">
        <f>'PDB_woody perennials'!K165</f>
        <v>9.2777224514725275E-4</v>
      </c>
      <c r="L67" s="80">
        <f>'PDB_woody perennials'!G165</f>
        <v>43.899250977020117</v>
      </c>
      <c r="M67" s="10">
        <f>'PDB_woody perennials'!J165</f>
        <v>56.824846474772293</v>
      </c>
      <c r="N67" s="10">
        <f t="shared" si="13"/>
        <v>2.3306902570079515</v>
      </c>
      <c r="O67" s="10">
        <f>Assumptions!$E$16</f>
        <v>0.5</v>
      </c>
      <c r="P67" s="10">
        <f t="shared" si="1"/>
        <v>3.9643078428930074E-3</v>
      </c>
      <c r="Q67" s="10">
        <f t="shared" si="8"/>
        <v>3.9643078428930074E-3</v>
      </c>
      <c r="R67" s="10">
        <f>'PDB_woody perennials'!K268</f>
        <v>9.7973114193373469E-4</v>
      </c>
      <c r="S67" s="80">
        <f>'PDB_woody perennials'!G268</f>
        <v>44.703921565193603</v>
      </c>
      <c r="T67" s="10">
        <f>'PDB_woody perennials'!J268</f>
        <v>60.357067577172451</v>
      </c>
      <c r="U67" s="10">
        <f t="shared" si="14"/>
        <v>3.5322211024001575</v>
      </c>
      <c r="V67" s="10">
        <f>Assumptions!$E$16</f>
        <v>0.5</v>
      </c>
      <c r="W67" s="10">
        <f t="shared" si="3"/>
        <v>6.344482859397726E-3</v>
      </c>
      <c r="X67" s="10">
        <f t="shared" si="9"/>
        <v>6.344482859397726E-3</v>
      </c>
      <c r="Y67" s="10">
        <f>'PDB_woody perennials'!K371</f>
        <v>1.0345999414138889E-3</v>
      </c>
      <c r="Z67" s="80">
        <f>'PDB_woody perennials'!G371</f>
        <v>45.523341716083102</v>
      </c>
      <c r="AA67" s="10">
        <f>'PDB_woody perennials'!J371</f>
        <v>64.108850837506111</v>
      </c>
      <c r="AB67" s="10">
        <f t="shared" si="15"/>
        <v>3.7517832603336601</v>
      </c>
      <c r="AC67" s="10">
        <f>Assumptions!$E$16</f>
        <v>0.5</v>
      </c>
      <c r="AD67" s="10">
        <f t="shared" si="5"/>
        <v>7.116257025787825E-3</v>
      </c>
      <c r="AE67" s="10">
        <f t="shared" si="10"/>
        <v>7.116257025787825E-3</v>
      </c>
      <c r="AF67" s="10">
        <f>'PDB_woody perennials'!K474</f>
        <v>1.0925416095898886E-3</v>
      </c>
      <c r="AG67" s="80">
        <f>'PDB_woody perennials'!G474</f>
        <v>46.357781788272</v>
      </c>
      <c r="AH67" s="10">
        <f>'PDB_woody perennials'!J474</f>
        <v>68.093844195638439</v>
      </c>
      <c r="AI67" s="10">
        <f t="shared" si="16"/>
        <v>3.9849933581323285</v>
      </c>
      <c r="AJ67" s="10">
        <f>Assumptions!$E$16</f>
        <v>0.5</v>
      </c>
      <c r="AK67" s="10">
        <f t="shared" si="17"/>
        <v>7.9819136057813333E-3</v>
      </c>
      <c r="AL67" s="10">
        <f t="shared" si="11"/>
        <v>7.9819136057813333E-3</v>
      </c>
      <c r="AM67">
        <f t="shared" si="12"/>
        <v>6.3517403334649725E-3</v>
      </c>
    </row>
    <row r="68" spans="1:39" x14ac:dyDescent="0.2">
      <c r="A68" s="585"/>
      <c r="B68" s="585"/>
      <c r="C68" s="585"/>
      <c r="D68" s="585"/>
      <c r="E68" s="588"/>
      <c r="F68" s="10" t="s">
        <v>199</v>
      </c>
      <c r="G68" s="10">
        <f>'PDB_woody perennials'!K62</f>
        <v>2.095390909919578E-2</v>
      </c>
      <c r="H68" s="80">
        <f>'PDB_woody perennials'!G62</f>
        <v>178.58215297451784</v>
      </c>
      <c r="I68" s="10">
        <f>'PDB_woody perennials'!J62</f>
        <v>1688.3900651966519</v>
      </c>
      <c r="J68" s="10">
        <f>Assumptions!$E$16</f>
        <v>0.5</v>
      </c>
      <c r="K68" s="10">
        <f>'PDB_woody perennials'!K166</f>
        <v>2.1673790504689996E-2</v>
      </c>
      <c r="L68" s="80">
        <f>'PDB_woody perennials'!G166</f>
        <v>175.59700390808047</v>
      </c>
      <c r="M68" s="10">
        <f>'PDB_woody perennials'!J166</f>
        <v>1760.6017397706726</v>
      </c>
      <c r="N68" s="10">
        <f t="shared" si="13"/>
        <v>72.211674574020662</v>
      </c>
      <c r="O68" s="10">
        <f>Assumptions!$E$16</f>
        <v>0.5</v>
      </c>
      <c r="P68" s="10">
        <f t="shared" si="1"/>
        <v>2.8693512956353171</v>
      </c>
      <c r="Q68" s="10">
        <f t="shared" si="8"/>
        <v>2.8693512956353171</v>
      </c>
      <c r="R68" s="10">
        <f>'PDB_woody perennials'!K269</f>
        <v>2.2887608065729748E-2</v>
      </c>
      <c r="S68" s="80">
        <f>'PDB_woody perennials'!G269</f>
        <v>178.81568626077441</v>
      </c>
      <c r="T68" s="10">
        <f>'PDB_woody perennials'!J269</f>
        <v>1870.0403921197164</v>
      </c>
      <c r="U68" s="10">
        <f t="shared" si="14"/>
        <v>109.43865234904388</v>
      </c>
      <c r="V68" s="10">
        <f>Assumptions!$E$16</f>
        <v>0.5</v>
      </c>
      <c r="W68" s="10">
        <f t="shared" si="3"/>
        <v>4.5921131340453787</v>
      </c>
      <c r="X68" s="10">
        <f t="shared" si="9"/>
        <v>4.5921131340453787</v>
      </c>
      <c r="Y68" s="10">
        <f>'PDB_woody perennials'!K372</f>
        <v>2.4169404186918906E-2</v>
      </c>
      <c r="Z68" s="80">
        <f>'PDB_woody perennials'!G372</f>
        <v>182.09336686433241</v>
      </c>
      <c r="AA68" s="10">
        <f>'PDB_woody perennials'!J372</f>
        <v>1986.2817292312639</v>
      </c>
      <c r="AB68" s="10">
        <f t="shared" si="15"/>
        <v>116.24133711154741</v>
      </c>
      <c r="AC68" s="10">
        <f>Assumptions!$E$16</f>
        <v>0.5</v>
      </c>
      <c r="AD68" s="10">
        <f t="shared" si="5"/>
        <v>5.1507204097742907</v>
      </c>
      <c r="AE68" s="10">
        <f t="shared" si="10"/>
        <v>5.1507204097742907</v>
      </c>
      <c r="AF68" s="10">
        <f>'PDB_woody perennials'!K475</f>
        <v>2.5522985935141563E-2</v>
      </c>
      <c r="AG68" s="80">
        <f>'PDB_woody perennials'!G475</f>
        <v>185.431127153088</v>
      </c>
      <c r="AH68" s="10">
        <f>'PDB_woody perennials'!J475</f>
        <v>2109.7486046308713</v>
      </c>
      <c r="AI68" s="10">
        <f t="shared" si="16"/>
        <v>123.46687539960749</v>
      </c>
      <c r="AJ68" s="10">
        <f>Assumptions!$E$16</f>
        <v>0.5</v>
      </c>
      <c r="AK68" s="10">
        <f t="shared" si="17"/>
        <v>5.7772794278467723</v>
      </c>
      <c r="AL68" s="10">
        <f t="shared" si="11"/>
        <v>5.7772794278467723</v>
      </c>
      <c r="AM68">
        <f t="shared" si="12"/>
        <v>4.5973660668254395</v>
      </c>
    </row>
    <row r="69" spans="1:39" x14ac:dyDescent="0.2">
      <c r="A69" s="586"/>
      <c r="B69" s="586"/>
      <c r="C69" s="586"/>
      <c r="D69" s="586"/>
      <c r="E69" s="589"/>
      <c r="F69" s="10" t="s">
        <v>172</v>
      </c>
      <c r="G69" s="10">
        <f>'PDB_woody perennials'!K63</f>
        <v>0.19324672143272528</v>
      </c>
      <c r="H69" s="80">
        <f>'PDB_woody perennials'!G63</f>
        <v>76</v>
      </c>
      <c r="I69" s="10">
        <f>'PDB_woody perennials'!J63</f>
        <v>25471.781086781513</v>
      </c>
      <c r="J69" s="10">
        <f>Assumptions!$E$16</f>
        <v>0.5</v>
      </c>
      <c r="K69" s="10">
        <f>'PDB_woody perennials'!K167</f>
        <v>0.20060907446561363</v>
      </c>
      <c r="L69" s="80">
        <f>'PDB_woody perennials'!G167</f>
        <v>75</v>
      </c>
      <c r="M69" s="10">
        <f>'PDB_woody perennials'!J167</f>
        <v>26657.307166192029</v>
      </c>
      <c r="N69" s="10">
        <f t="shared" si="13"/>
        <v>1185.5260794105161</v>
      </c>
      <c r="O69" s="10">
        <f>Assumptions!$E$16</f>
        <v>0.5</v>
      </c>
      <c r="P69" s="10"/>
      <c r="Q69" s="10"/>
      <c r="R69" s="10">
        <f>'PDB_woody perennials'!K270</f>
        <v>0.21080452433534264</v>
      </c>
      <c r="S69" s="80">
        <f>'PDB_woody perennials'!G270</f>
        <v>76</v>
      </c>
      <c r="T69" s="10">
        <f>'PDB_woody perennials'!J270</f>
        <v>28175.391122711753</v>
      </c>
      <c r="U69" s="10">
        <f t="shared" si="14"/>
        <v>1518.0839565197239</v>
      </c>
      <c r="V69" s="10">
        <f>Assumptions!$E$16</f>
        <v>0.5</v>
      </c>
      <c r="W69" s="10"/>
      <c r="X69" s="10"/>
      <c r="Y69" s="10">
        <f>'PDB_woody perennials'!K373</f>
        <v>0.23010886310032855</v>
      </c>
      <c r="Z69" s="80">
        <f>'PDB_woody perennials'!G373</f>
        <v>80</v>
      </c>
      <c r="AA69" s="10">
        <f>'PDB_woody perennials'!J373</f>
        <v>30934.827352143038</v>
      </c>
      <c r="AB69" s="10">
        <f t="shared" si="15"/>
        <v>2759.436229431285</v>
      </c>
      <c r="AC69" s="10">
        <f>Assumptions!$E$16</f>
        <v>0.5</v>
      </c>
      <c r="AD69" s="10"/>
      <c r="AE69" s="10"/>
      <c r="AF69" s="10">
        <f>'PDB_woody perennials'!K476</f>
        <v>0.23265639092547702</v>
      </c>
      <c r="AG69" s="80">
        <f>'PDB_woody perennials'!G476</f>
        <v>78</v>
      </c>
      <c r="AH69" s="10">
        <f>'PDB_woody perennials'!J476</f>
        <v>31459.633625937731</v>
      </c>
      <c r="AI69" s="10">
        <f t="shared" si="16"/>
        <v>524.80627379469297</v>
      </c>
      <c r="AJ69" s="10">
        <f>Assumptions!$E$16</f>
        <v>0.5</v>
      </c>
      <c r="AK69" s="10">
        <f t="shared" si="17"/>
        <v>223.8491449262219</v>
      </c>
      <c r="AL69" s="10">
        <f t="shared" si="11"/>
        <v>223.8491449262219</v>
      </c>
      <c r="AM69">
        <f t="shared" si="12"/>
        <v>223.8491449262219</v>
      </c>
    </row>
    <row r="70" spans="1:39" x14ac:dyDescent="0.2">
      <c r="A70" s="75" t="s">
        <v>20</v>
      </c>
      <c r="B70" s="75"/>
      <c r="C70" s="75"/>
      <c r="D70" s="75" t="s">
        <v>37</v>
      </c>
      <c r="E70" s="486">
        <f>Assumptions!D72</f>
        <v>2315.3180000000002</v>
      </c>
      <c r="F70" s="56" t="s">
        <v>323</v>
      </c>
      <c r="G70" s="10">
        <f>'PDB_woody perennials'!K64</f>
        <v>0</v>
      </c>
      <c r="H70" s="80">
        <f>'PDB_woody perennials'!G64</f>
        <v>0</v>
      </c>
      <c r="I70" s="10">
        <f>'PDB_woody perennials'!J64</f>
        <v>0</v>
      </c>
      <c r="J70" s="10">
        <f>Assumptions!$E$16</f>
        <v>0.5</v>
      </c>
      <c r="K70" s="10">
        <f>'PDB_woody perennials'!K168</f>
        <v>0</v>
      </c>
      <c r="L70" s="80">
        <f>'PDB_woody perennials'!G168</f>
        <v>0</v>
      </c>
      <c r="M70" s="10">
        <f>'PDB_woody perennials'!J168</f>
        <v>0</v>
      </c>
      <c r="N70" s="10">
        <f t="shared" si="13"/>
        <v>0</v>
      </c>
      <c r="O70" s="10">
        <f>Assumptions!$E$16</f>
        <v>0.5</v>
      </c>
      <c r="P70" s="10">
        <f t="shared" si="1"/>
        <v>0</v>
      </c>
      <c r="Q70" s="10">
        <f t="shared" si="8"/>
        <v>0</v>
      </c>
      <c r="R70" s="10">
        <f>'PDB_woody perennials'!K271</f>
        <v>0</v>
      </c>
      <c r="S70" s="80">
        <f>'PDB_woody perennials'!G271</f>
        <v>0</v>
      </c>
      <c r="T70" s="10">
        <f>'PDB_woody perennials'!J271</f>
        <v>0</v>
      </c>
      <c r="U70" s="10">
        <f t="shared" si="14"/>
        <v>0</v>
      </c>
      <c r="V70" s="10">
        <f>Assumptions!$E$16</f>
        <v>0.5</v>
      </c>
      <c r="W70" s="10">
        <f t="shared" si="3"/>
        <v>0</v>
      </c>
      <c r="X70" s="10">
        <f t="shared" si="9"/>
        <v>0</v>
      </c>
      <c r="Y70" s="10">
        <f>'PDB_woody perennials'!K374</f>
        <v>0</v>
      </c>
      <c r="Z70" s="80">
        <f>'PDB_woody perennials'!G374</f>
        <v>0</v>
      </c>
      <c r="AA70" s="10">
        <f>'PDB_woody perennials'!J374</f>
        <v>0</v>
      </c>
      <c r="AB70" s="10">
        <f t="shared" si="15"/>
        <v>0</v>
      </c>
      <c r="AC70" s="10">
        <f>Assumptions!$E$16</f>
        <v>0.5</v>
      </c>
      <c r="AD70" s="10">
        <f t="shared" si="5"/>
        <v>0</v>
      </c>
      <c r="AE70" s="10">
        <f t="shared" si="10"/>
        <v>0</v>
      </c>
      <c r="AF70" s="10">
        <f>'PDB_woody perennials'!K477</f>
        <v>0</v>
      </c>
      <c r="AG70" s="80">
        <f>'PDB_woody perennials'!G477</f>
        <v>0</v>
      </c>
      <c r="AH70" s="10">
        <f>'PDB_woody perennials'!J477</f>
        <v>0</v>
      </c>
      <c r="AI70" s="10">
        <f t="shared" si="16"/>
        <v>0</v>
      </c>
      <c r="AJ70" s="10">
        <f>Assumptions!$E$16</f>
        <v>0.5</v>
      </c>
      <c r="AK70" s="10">
        <f t="shared" si="17"/>
        <v>0</v>
      </c>
      <c r="AL70" s="10">
        <f t="shared" si="11"/>
        <v>0</v>
      </c>
      <c r="AM70">
        <f t="shared" si="12"/>
        <v>0</v>
      </c>
    </row>
    <row r="71" spans="1:39" x14ac:dyDescent="0.2">
      <c r="A71" s="582" t="s">
        <v>21</v>
      </c>
      <c r="B71" s="582"/>
      <c r="C71" s="582"/>
      <c r="D71" s="582" t="s">
        <v>35</v>
      </c>
      <c r="E71" s="583">
        <f>Assumptions!D73</f>
        <v>5717.201</v>
      </c>
      <c r="F71" s="55" t="s">
        <v>188</v>
      </c>
      <c r="G71" s="10">
        <f>'PDB_woody perennials'!K65</f>
        <v>8.9944841674312413E-3</v>
      </c>
      <c r="H71" s="80">
        <f>'PDB_woody perennials'!G65</f>
        <v>44.64553824362946</v>
      </c>
      <c r="I71" s="10">
        <f>'PDB_woody perennials'!J65</f>
        <v>790.21885094983088</v>
      </c>
      <c r="J71" s="10">
        <f>Assumptions!$E$16</f>
        <v>0.5</v>
      </c>
      <c r="K71" s="10">
        <f>'PDB_woody perennials'!K169</f>
        <v>9.3034939027266152E-3</v>
      </c>
      <c r="L71" s="80">
        <f>'PDB_woody perennials'!G169</f>
        <v>43.899250977020117</v>
      </c>
      <c r="M71" s="10">
        <f>'PDB_woody perennials'!J169</f>
        <v>824.01615151638816</v>
      </c>
      <c r="N71" s="10">
        <f t="shared" si="13"/>
        <v>33.797300566557283</v>
      </c>
      <c r="O71" s="10">
        <f>Assumptions!$E$16</f>
        <v>0.5</v>
      </c>
      <c r="P71" s="10">
        <f t="shared" si="1"/>
        <v>0.57646046287423813</v>
      </c>
      <c r="Q71" s="10">
        <f t="shared" si="8"/>
        <v>0.57646046287423813</v>
      </c>
      <c r="R71" s="10">
        <f>'PDB_woody perennials'!K272</f>
        <v>9.8245261732799478E-3</v>
      </c>
      <c r="S71" s="80">
        <f>'PDB_woody perennials'!G272</f>
        <v>44.703921565193603</v>
      </c>
      <c r="T71" s="10">
        <f>'PDB_woody perennials'!J272</f>
        <v>875.2368308436437</v>
      </c>
      <c r="U71" s="10">
        <f t="shared" si="14"/>
        <v>51.220679327255539</v>
      </c>
      <c r="V71" s="10">
        <f>Assumptions!$E$16</f>
        <v>0.5</v>
      </c>
      <c r="W71" s="10">
        <f t="shared" si="3"/>
        <v>0.92256799188363547</v>
      </c>
      <c r="X71" s="10">
        <f t="shared" si="9"/>
        <v>0.92256799188363547</v>
      </c>
      <c r="Y71" s="10">
        <f>'PDB_woody perennials'!K375</f>
        <v>1.0374738301400383E-2</v>
      </c>
      <c r="Z71" s="80">
        <f>'PDB_woody perennials'!G375</f>
        <v>45.523341716083102</v>
      </c>
      <c r="AA71" s="10">
        <f>'PDB_woody perennials'!J375</f>
        <v>929.64137736320652</v>
      </c>
      <c r="AB71" s="10">
        <f t="shared" si="15"/>
        <v>54.404546519562814</v>
      </c>
      <c r="AC71" s="10">
        <f>Assumptions!$E$16</f>
        <v>0.5</v>
      </c>
      <c r="AD71" s="10">
        <f t="shared" si="5"/>
        <v>1.0347937096691833</v>
      </c>
      <c r="AE71" s="10">
        <f t="shared" si="10"/>
        <v>1.0347937096691833</v>
      </c>
      <c r="AF71" s="10">
        <f>'PDB_woody perennials'!K478</f>
        <v>1.095576447394305E-2</v>
      </c>
      <c r="AG71" s="80">
        <f>'PDB_woody perennials'!G478</f>
        <v>46.357781788272</v>
      </c>
      <c r="AH71" s="10">
        <f>'PDB_woody perennials'!J478</f>
        <v>987.42769962356624</v>
      </c>
      <c r="AI71" s="10">
        <f t="shared" si="16"/>
        <v>57.786322260359725</v>
      </c>
      <c r="AJ71" s="10">
        <f>Assumptions!$E$16</f>
        <v>0.5</v>
      </c>
      <c r="AK71" s="10">
        <f t="shared" si="17"/>
        <v>1.1606711169164348</v>
      </c>
      <c r="AL71" s="10">
        <f t="shared" si="11"/>
        <v>1.1606711169164348</v>
      </c>
      <c r="AM71">
        <f t="shared" si="12"/>
        <v>0.9236233203358728</v>
      </c>
    </row>
    <row r="72" spans="1:39" x14ac:dyDescent="0.2">
      <c r="A72" s="516"/>
      <c r="B72" s="516"/>
      <c r="C72" s="516"/>
      <c r="D72" s="516"/>
      <c r="E72" s="518"/>
      <c r="F72" s="55" t="s">
        <v>182</v>
      </c>
      <c r="G72" s="10">
        <f>'PDB_woody perennials'!K66</f>
        <v>9.9661874431371082E-3</v>
      </c>
      <c r="H72" s="80">
        <f>'PDB_woody perennials'!G66</f>
        <v>44.64553824362946</v>
      </c>
      <c r="I72" s="10">
        <f>'PDB_woody perennials'!J66</f>
        <v>890.07913686065933</v>
      </c>
      <c r="J72" s="10">
        <f>Assumptions!$E$16</f>
        <v>0.5</v>
      </c>
      <c r="K72" s="10">
        <f>'PDB_woody perennials'!K170</f>
        <v>1.0308580501636138E-2</v>
      </c>
      <c r="L72" s="80">
        <f>'PDB_woody perennials'!G170</f>
        <v>43.899250977020117</v>
      </c>
      <c r="M72" s="10">
        <f>'PDB_woody perennials'!J170</f>
        <v>928.14741640163015</v>
      </c>
      <c r="N72" s="10">
        <f t="shared" si="13"/>
        <v>38.068279540970821</v>
      </c>
      <c r="O72" s="10">
        <f>Assumptions!$E$16</f>
        <v>0.5</v>
      </c>
      <c r="P72" s="10">
        <f t="shared" si="1"/>
        <v>0.71945486104595713</v>
      </c>
      <c r="Q72" s="10">
        <f t="shared" si="8"/>
        <v>0.71945486104595713</v>
      </c>
      <c r="R72" s="10">
        <f>'PDB_woody perennials'!K273</f>
        <v>1.0885901577041494E-2</v>
      </c>
      <c r="S72" s="80">
        <f>'PDB_woody perennials'!G273</f>
        <v>44.703921565193603</v>
      </c>
      <c r="T72" s="10">
        <f>'PDB_woody perennials'!J273</f>
        <v>985.84087434713456</v>
      </c>
      <c r="U72" s="10">
        <f t="shared" si="14"/>
        <v>57.693457945504406</v>
      </c>
      <c r="V72" s="10">
        <f>Assumptions!$E$16</f>
        <v>0.5</v>
      </c>
      <c r="W72" s="10">
        <f t="shared" si="3"/>
        <v>1.1514163921955631</v>
      </c>
      <c r="X72" s="10">
        <f t="shared" si="9"/>
        <v>1.1514163921955631</v>
      </c>
      <c r="Y72" s="10">
        <f>'PDB_woody perennials'!K376</f>
        <v>1.1495554904598762E-2</v>
      </c>
      <c r="Z72" s="80">
        <f>'PDB_woody perennials'!G376</f>
        <v>45.523341716083102</v>
      </c>
      <c r="AA72" s="10">
        <f>'PDB_woody perennials'!J376</f>
        <v>1047.1205461104983</v>
      </c>
      <c r="AB72" s="10">
        <f t="shared" si="15"/>
        <v>61.279671763363694</v>
      </c>
      <c r="AC72" s="10">
        <f>Assumptions!$E$16</f>
        <v>0.5</v>
      </c>
      <c r="AD72" s="10">
        <f t="shared" si="5"/>
        <v>1.2914803573678191</v>
      </c>
      <c r="AE72" s="10">
        <f t="shared" si="10"/>
        <v>1.2914803573678191</v>
      </c>
      <c r="AF72" s="10">
        <f>'PDB_woody perennials'!K479</f>
        <v>1.2139351217665427E-2</v>
      </c>
      <c r="AG72" s="80">
        <f>'PDB_woody perennials'!G479</f>
        <v>46.357781788272</v>
      </c>
      <c r="AH72" s="10">
        <f>'PDB_woody perennials'!J479</f>
        <v>1112.2093500260585</v>
      </c>
      <c r="AI72" s="10">
        <f t="shared" si="16"/>
        <v>65.08880391556022</v>
      </c>
      <c r="AJ72" s="10">
        <f>Assumptions!$E$16</f>
        <v>0.5</v>
      </c>
      <c r="AK72" s="10">
        <f t="shared" si="17"/>
        <v>1.4485823936260271</v>
      </c>
      <c r="AL72" s="10">
        <f t="shared" si="11"/>
        <v>1.4485823936260271</v>
      </c>
      <c r="AM72">
        <f t="shared" si="12"/>
        <v>1.1527335010588415</v>
      </c>
    </row>
    <row r="73" spans="1:39" x14ac:dyDescent="0.2">
      <c r="A73" s="516"/>
      <c r="B73" s="516"/>
      <c r="C73" s="516"/>
      <c r="D73" s="516"/>
      <c r="E73" s="518"/>
      <c r="F73" s="55" t="s">
        <v>171</v>
      </c>
      <c r="G73" s="10">
        <f>'PDB_woody perennials'!K67</f>
        <v>7.3384360206299626E-2</v>
      </c>
      <c r="H73" s="80">
        <f>'PDB_woody perennials'!G67</f>
        <v>133.93661473088838</v>
      </c>
      <c r="I73" s="10">
        <f>'PDB_woody perennials'!J67</f>
        <v>7566.5097429824518</v>
      </c>
      <c r="J73" s="10">
        <f>Assumptions!$E$16</f>
        <v>0.5</v>
      </c>
      <c r="K73" s="10">
        <f>'PDB_woody perennials'!K171</f>
        <v>7.5905514427047474E-2</v>
      </c>
      <c r="L73" s="80">
        <f>'PDB_woody perennials'!G171</f>
        <v>131.69775293106036</v>
      </c>
      <c r="M73" s="10">
        <f>'PDB_woody perennials'!J171</f>
        <v>7890.1259205970518</v>
      </c>
      <c r="N73" s="10">
        <f t="shared" ref="N73:N104" si="18">M73-I73</f>
        <v>323.61617761460002</v>
      </c>
      <c r="O73" s="10">
        <f>Assumptions!$E$16</f>
        <v>0.5</v>
      </c>
      <c r="P73" s="10">
        <f t="shared" ref="P73:P108" si="19">K73*N73*O73*44/12</f>
        <v>45.034462804376801</v>
      </c>
      <c r="Q73" s="10">
        <f t="shared" si="8"/>
        <v>45.034462804376801</v>
      </c>
      <c r="R73" s="10">
        <f>'PDB_woody perennials'!K274</f>
        <v>8.0156521945615566E-2</v>
      </c>
      <c r="S73" s="80">
        <f>'PDB_woody perennials'!G274</f>
        <v>134.11176469558083</v>
      </c>
      <c r="T73" s="10">
        <f>'PDB_woody perennials'!J274</f>
        <v>8380.5745712537737</v>
      </c>
      <c r="U73" s="10">
        <f t="shared" ref="U73:U104" si="20">T73-M73</f>
        <v>490.44865065672184</v>
      </c>
      <c r="V73" s="10">
        <f>Assumptions!$E$16</f>
        <v>0.5</v>
      </c>
      <c r="W73" s="10">
        <f t="shared" ref="W73:W108" si="21">R73*U73*V73*44/12</f>
        <v>72.073206387532295</v>
      </c>
      <c r="X73" s="10">
        <f t="shared" si="9"/>
        <v>72.073206387532295</v>
      </c>
      <c r="Y73" s="10">
        <f>'PDB_woody perennials'!K377</f>
        <v>8.4645602614195584E-2</v>
      </c>
      <c r="Z73" s="80">
        <f>'PDB_woody perennials'!G377</f>
        <v>136.57002514824933</v>
      </c>
      <c r="AA73" s="10">
        <f>'PDB_woody perennials'!J377</f>
        <v>8901.50941203619</v>
      </c>
      <c r="AB73" s="10">
        <f t="shared" ref="AB73:AB104" si="22">AA73-T73</f>
        <v>520.93484078241636</v>
      </c>
      <c r="AC73" s="10">
        <f>Assumptions!$E$16</f>
        <v>0.5</v>
      </c>
      <c r="AD73" s="10">
        <f t="shared" ref="AD73:AD108" si="23">Y73*AB73*AC73*44/12</f>
        <v>80.840546454722386</v>
      </c>
      <c r="AE73" s="10">
        <f t="shared" si="10"/>
        <v>80.840546454722386</v>
      </c>
      <c r="AF73" s="10">
        <f>'PDB_woody perennials'!K480</f>
        <v>8.9386089466076471E-2</v>
      </c>
      <c r="AG73" s="80">
        <f>'PDB_woody perennials'!G480</f>
        <v>139.07334536481602</v>
      </c>
      <c r="AH73" s="10">
        <f>'PDB_woody perennials'!J480</f>
        <v>9454.825458430907</v>
      </c>
      <c r="AI73" s="10">
        <f t="shared" ref="AI73:AI104" si="24">AH73-AA73</f>
        <v>553.31604639471698</v>
      </c>
      <c r="AJ73" s="10">
        <f>Assumptions!$E$16</f>
        <v>0.5</v>
      </c>
      <c r="AK73" s="10">
        <f t="shared" ref="AK73:AK104" si="25">AF73*AI73*AJ73*44/12</f>
        <v>90.674388981098787</v>
      </c>
      <c r="AL73" s="10">
        <f t="shared" si="11"/>
        <v>90.674388981098787</v>
      </c>
      <c r="AM73">
        <f t="shared" si="12"/>
        <v>72.155651156932564</v>
      </c>
    </row>
    <row r="74" spans="1:39" x14ac:dyDescent="0.2">
      <c r="A74" s="516"/>
      <c r="B74" s="516"/>
      <c r="C74" s="516"/>
      <c r="D74" s="516"/>
      <c r="E74" s="518"/>
      <c r="F74" s="55" t="s">
        <v>172</v>
      </c>
      <c r="G74" s="10">
        <f>'PDB_woody perennials'!K68</f>
        <v>0.24427333052034117</v>
      </c>
      <c r="H74" s="80">
        <f>'PDB_woody perennials'!G68</f>
        <v>535.74645892355352</v>
      </c>
      <c r="I74" s="10">
        <f>'PDB_woody perennials'!J68</f>
        <v>24456.941527243376</v>
      </c>
      <c r="J74" s="10">
        <f>Assumptions!$E$16</f>
        <v>0.5</v>
      </c>
      <c r="K74" s="10">
        <f>'PDB_woody perennials'!K172</f>
        <v>0.25266545571603966</v>
      </c>
      <c r="L74" s="80">
        <f>'PDB_woody perennials'!G172</f>
        <v>526.79101172424146</v>
      </c>
      <c r="M74" s="10">
        <f>'PDB_woody perennials'!J172</f>
        <v>25502.953784153509</v>
      </c>
      <c r="N74" s="10">
        <f t="shared" si="18"/>
        <v>1046.0122569101331</v>
      </c>
      <c r="O74" s="10">
        <f>Assumptions!$E$16</f>
        <v>0.5</v>
      </c>
      <c r="P74" s="10">
        <f t="shared" si="19"/>
        <v>484.53379989073028</v>
      </c>
      <c r="Q74" s="10">
        <f t="shared" si="8"/>
        <v>484.53379989073028</v>
      </c>
      <c r="R74" s="10">
        <f>'PDB_woody perennials'!K275</f>
        <v>0.26681571554944888</v>
      </c>
      <c r="S74" s="80">
        <f>'PDB_woody perennials'!G275</f>
        <v>536.44705878232332</v>
      </c>
      <c r="T74" s="10">
        <f>'PDB_woody perennials'!J275</f>
        <v>27088.212295497055</v>
      </c>
      <c r="U74" s="10">
        <f t="shared" si="20"/>
        <v>1585.2585113435453</v>
      </c>
      <c r="V74" s="10">
        <f>Assumptions!$E$16</f>
        <v>0.5</v>
      </c>
      <c r="W74" s="10">
        <f t="shared" si="21"/>
        <v>775.4484540641339</v>
      </c>
      <c r="X74" s="10">
        <f t="shared" si="9"/>
        <v>775.4484540641339</v>
      </c>
      <c r="Y74" s="10">
        <f>'PDB_woody perennials'!K378</f>
        <v>0.28175844561898744</v>
      </c>
      <c r="Z74" s="80">
        <f>'PDB_woody perennials'!G378</f>
        <v>546.28010059299731</v>
      </c>
      <c r="AA74" s="10">
        <f>'PDB_woody perennials'!J378</f>
        <v>28772.010159146863</v>
      </c>
      <c r="AB74" s="10">
        <f t="shared" si="22"/>
        <v>1683.7978636498083</v>
      </c>
      <c r="AC74" s="10">
        <f>Assumptions!$E$16</f>
        <v>0.5</v>
      </c>
      <c r="AD74" s="10">
        <f t="shared" si="23"/>
        <v>869.77782613065983</v>
      </c>
      <c r="AE74" s="10">
        <f t="shared" si="10"/>
        <v>869.77782613065983</v>
      </c>
      <c r="AF74" s="10">
        <f>'PDB_woody perennials'!K481</f>
        <v>0.29753802737648327</v>
      </c>
      <c r="AG74" s="80">
        <f>'PDB_woody perennials'!G481</f>
        <v>556.29338145926408</v>
      </c>
      <c r="AH74" s="10">
        <f>'PDB_woody perennials'!J481</f>
        <v>30560.472561552688</v>
      </c>
      <c r="AI74" s="10">
        <f t="shared" si="24"/>
        <v>1788.4624024058248</v>
      </c>
      <c r="AJ74" s="10">
        <f>Assumptions!$E$16</f>
        <v>0.5</v>
      </c>
      <c r="AK74" s="10">
        <f t="shared" si="25"/>
        <v>975.5818879561981</v>
      </c>
      <c r="AL74" s="10">
        <f t="shared" ref="AL74:AL108" si="26">AK74</f>
        <v>975.5818879561981</v>
      </c>
      <c r="AM74">
        <f t="shared" ref="AM74:AM108" si="27">AVERAGE(Q74,X74,AE74,AL74)</f>
        <v>776.33549201043047</v>
      </c>
    </row>
    <row r="75" spans="1:39" x14ac:dyDescent="0.2">
      <c r="A75" s="582" t="s">
        <v>22</v>
      </c>
      <c r="B75" s="582"/>
      <c r="C75" s="582"/>
      <c r="D75" s="582" t="s">
        <v>35</v>
      </c>
      <c r="E75" s="583">
        <f>Assumptions!D74</f>
        <v>3768.0449999999996</v>
      </c>
      <c r="F75" s="55" t="s">
        <v>201</v>
      </c>
      <c r="G75" s="10">
        <f>'PDB_woody perennials'!K69</f>
        <v>4.9830937215685541E-3</v>
      </c>
      <c r="H75" s="80">
        <f>'PDB_woody perennials'!G69</f>
        <v>89.29107648725892</v>
      </c>
      <c r="I75" s="10">
        <f>'PDB_woody perennials'!J69</f>
        <v>356.5077926050231</v>
      </c>
      <c r="J75" s="10">
        <f>Assumptions!$E$16</f>
        <v>0.5</v>
      </c>
      <c r="K75" s="10">
        <f>'PDB_woody perennials'!K173</f>
        <v>5.1542902508180692E-3</v>
      </c>
      <c r="L75" s="80">
        <f>'PDB_woody perennials'!G173</f>
        <v>87.798501954040233</v>
      </c>
      <c r="M75" s="10">
        <f>'PDB_woody perennials'!J173</f>
        <v>371.75546862098901</v>
      </c>
      <c r="N75" s="10">
        <f t="shared" si="18"/>
        <v>15.247676015965908</v>
      </c>
      <c r="O75" s="10">
        <f>Assumptions!$E$16</f>
        <v>0.5</v>
      </c>
      <c r="P75" s="10">
        <f t="shared" si="19"/>
        <v>0.14408340436733022</v>
      </c>
      <c r="Q75" s="10">
        <f t="shared" ref="Q75:Q107" si="28">P75</f>
        <v>0.14408340436733022</v>
      </c>
      <c r="R75" s="10">
        <f>'PDB_woody perennials'!K276</f>
        <v>5.4429507885207472E-3</v>
      </c>
      <c r="S75" s="80">
        <f>'PDB_woody perennials'!G276</f>
        <v>89.407843130387207</v>
      </c>
      <c r="T75" s="10">
        <f>'PDB_woody perennials'!J276</f>
        <v>394.86371426805266</v>
      </c>
      <c r="U75" s="10">
        <f t="shared" si="20"/>
        <v>23.108245647063654</v>
      </c>
      <c r="V75" s="10">
        <f>Assumptions!$E$16</f>
        <v>0.5</v>
      </c>
      <c r="W75" s="10">
        <f t="shared" si="21"/>
        <v>0.23059124708769643</v>
      </c>
      <c r="X75" s="10">
        <f t="shared" ref="X75:X108" si="29">W75</f>
        <v>0.23059124708769643</v>
      </c>
      <c r="Y75" s="10">
        <f>'PDB_woody perennials'!K379</f>
        <v>5.747777452299381E-3</v>
      </c>
      <c r="Z75" s="80">
        <f>'PDB_woody perennials'!G379</f>
        <v>91.046683432166205</v>
      </c>
      <c r="AA75" s="10">
        <f>'PDB_woody perennials'!J379</f>
        <v>419.40836384715755</v>
      </c>
      <c r="AB75" s="10">
        <f t="shared" si="22"/>
        <v>24.544649579104885</v>
      </c>
      <c r="AC75" s="10">
        <f>Assumptions!$E$16</f>
        <v>0.5</v>
      </c>
      <c r="AD75" s="10">
        <f t="shared" si="23"/>
        <v>0.25864150294650901</v>
      </c>
      <c r="AE75" s="10">
        <f t="shared" ref="AE75:AE108" si="30">AD75</f>
        <v>0.25864150294650901</v>
      </c>
      <c r="AF75" s="10">
        <f>'PDB_woody perennials'!K482</f>
        <v>6.0696756088327135E-3</v>
      </c>
      <c r="AG75" s="80">
        <f>'PDB_woody perennials'!G482</f>
        <v>92.715563576544</v>
      </c>
      <c r="AH75" s="10">
        <f>'PDB_woody perennials'!J482</f>
        <v>445.47870393970402</v>
      </c>
      <c r="AI75" s="10">
        <f t="shared" si="24"/>
        <v>26.070340092546473</v>
      </c>
      <c r="AJ75" s="10">
        <f>Assumptions!$E$16</f>
        <v>0.5</v>
      </c>
      <c r="AK75" s="10">
        <f t="shared" si="25"/>
        <v>0.29010393018512198</v>
      </c>
      <c r="AL75" s="10">
        <f t="shared" si="26"/>
        <v>0.29010393018512198</v>
      </c>
      <c r="AM75">
        <f t="shared" si="27"/>
        <v>0.2308550211466644</v>
      </c>
    </row>
    <row r="76" spans="1:39" x14ac:dyDescent="0.2">
      <c r="A76" s="516"/>
      <c r="B76" s="516"/>
      <c r="C76" s="516"/>
      <c r="D76" s="516"/>
      <c r="E76" s="518"/>
      <c r="F76" s="55" t="s">
        <v>200</v>
      </c>
      <c r="G76" s="10">
        <f>'PDB_woody perennials'!K70</f>
        <v>3.9768202331693057E-2</v>
      </c>
      <c r="H76" s="80">
        <f>'PDB_woody perennials'!G70</f>
        <v>1428.6572237961427</v>
      </c>
      <c r="I76" s="10">
        <f>'PDB_woody perennials'!J70</f>
        <v>2545.4972896105992</v>
      </c>
      <c r="J76" s="10">
        <f>Assumptions!$E$16</f>
        <v>0.5</v>
      </c>
      <c r="K76" s="10">
        <f>'PDB_woody perennials'!K174</f>
        <v>4.1134457632934975E-2</v>
      </c>
      <c r="L76" s="80">
        <f>'PDB_woody perennials'!G174</f>
        <v>1404.7760312646437</v>
      </c>
      <c r="M76" s="10">
        <f>'PDB_woody perennials'!J174</f>
        <v>2654.3670500382609</v>
      </c>
      <c r="N76" s="10">
        <f t="shared" si="18"/>
        <v>108.86976042766173</v>
      </c>
      <c r="O76" s="10">
        <f>Assumptions!$E$16</f>
        <v>0.5</v>
      </c>
      <c r="P76" s="10">
        <f t="shared" si="19"/>
        <v>8.2102140043356258</v>
      </c>
      <c r="Q76" s="10">
        <f t="shared" si="28"/>
        <v>8.2102140043356258</v>
      </c>
      <c r="R76" s="10">
        <f>'PDB_woody perennials'!K277</f>
        <v>4.3438149136638404E-2</v>
      </c>
      <c r="S76" s="80">
        <f>'PDB_woody perennials'!G277</f>
        <v>1430.5254900861953</v>
      </c>
      <c r="T76" s="10">
        <f>'PDB_woody perennials'!J277</f>
        <v>2819.3619754855922</v>
      </c>
      <c r="U76" s="10">
        <f t="shared" si="20"/>
        <v>164.9949254473313</v>
      </c>
      <c r="V76" s="10">
        <f>Assumptions!$E$16</f>
        <v>0.5</v>
      </c>
      <c r="W76" s="10">
        <f t="shared" si="21"/>
        <v>13.139635993677807</v>
      </c>
      <c r="X76" s="10">
        <f t="shared" si="29"/>
        <v>13.139635993677807</v>
      </c>
      <c r="Y76" s="10">
        <f>'PDB_woody perennials'!K380</f>
        <v>4.5870856430256762E-2</v>
      </c>
      <c r="Z76" s="80">
        <f>'PDB_woody perennials'!G380</f>
        <v>1456.7469349146593</v>
      </c>
      <c r="AA76" s="10">
        <f>'PDB_woody perennials'!J380</f>
        <v>2994.6129525302199</v>
      </c>
      <c r="AB76" s="10">
        <f t="shared" si="22"/>
        <v>175.25097704462769</v>
      </c>
      <c r="AC76" s="10">
        <f>Assumptions!$E$16</f>
        <v>0.5</v>
      </c>
      <c r="AD76" s="10">
        <f t="shared" si="23"/>
        <v>14.738006080006626</v>
      </c>
      <c r="AE76" s="10">
        <f t="shared" si="30"/>
        <v>14.738006080006626</v>
      </c>
      <c r="AF76" s="10">
        <f>'PDB_woody perennials'!K483</f>
        <v>4.843980490574059E-2</v>
      </c>
      <c r="AG76" s="80">
        <f>'PDB_woody perennials'!G483</f>
        <v>1483.449017224704</v>
      </c>
      <c r="AH76" s="10">
        <f>'PDB_woody perennials'!J483</f>
        <v>3180.7574952901209</v>
      </c>
      <c r="AI76" s="10">
        <f t="shared" si="24"/>
        <v>186.14454275990101</v>
      </c>
      <c r="AJ76" s="10">
        <f>Assumptions!$E$16</f>
        <v>0.5</v>
      </c>
      <c r="AK76" s="10">
        <f t="shared" si="25"/>
        <v>16.530809781856135</v>
      </c>
      <c r="AL76" s="10">
        <f t="shared" si="26"/>
        <v>16.530809781856135</v>
      </c>
      <c r="AM76">
        <f t="shared" si="27"/>
        <v>13.154666464969049</v>
      </c>
    </row>
    <row r="77" spans="1:39" x14ac:dyDescent="0.2">
      <c r="A77" s="516"/>
      <c r="B77" s="516"/>
      <c r="C77" s="516"/>
      <c r="D77" s="516"/>
      <c r="E77" s="518"/>
      <c r="F77" s="55" t="s">
        <v>171</v>
      </c>
      <c r="G77" s="10">
        <f>'PDB_woody perennials'!K71</f>
        <v>3.1144335759803462E-2</v>
      </c>
      <c r="H77" s="80">
        <f>'PDB_woody perennials'!G71</f>
        <v>357.16430594903568</v>
      </c>
      <c r="I77" s="10">
        <f>'PDB_woody perennials'!J71</f>
        <v>2393.0967043176424</v>
      </c>
      <c r="J77" s="10">
        <f>Assumptions!$E$16</f>
        <v>0.5</v>
      </c>
      <c r="K77" s="10">
        <f>'PDB_woody perennials'!K175</f>
        <v>3.221431406761293E-2</v>
      </c>
      <c r="L77" s="80">
        <f>'PDB_woody perennials'!G175</f>
        <v>351.19400781616093</v>
      </c>
      <c r="M77" s="10">
        <f>'PDB_woody perennials'!J175</f>
        <v>2495.4483610813909</v>
      </c>
      <c r="N77" s="10">
        <f t="shared" si="18"/>
        <v>102.35165676374845</v>
      </c>
      <c r="O77" s="10">
        <f>Assumptions!$E$16</f>
        <v>0.5</v>
      </c>
      <c r="P77" s="10">
        <f t="shared" si="19"/>
        <v>6.0448454299345054</v>
      </c>
      <c r="Q77" s="10">
        <f t="shared" si="28"/>
        <v>6.0448454299345054</v>
      </c>
      <c r="R77" s="10">
        <f>'PDB_woody perennials'!K278</f>
        <v>3.4018442428254657E-2</v>
      </c>
      <c r="S77" s="80">
        <f>'PDB_woody perennials'!G278</f>
        <v>357.63137252154883</v>
      </c>
      <c r="T77" s="10">
        <f>'PDB_woody perennials'!J278</f>
        <v>2650.564932577538</v>
      </c>
      <c r="U77" s="10">
        <f t="shared" si="20"/>
        <v>155.11657149614712</v>
      </c>
      <c r="V77" s="10">
        <f>Assumptions!$E$16</f>
        <v>0.5</v>
      </c>
      <c r="W77" s="10">
        <f t="shared" si="21"/>
        <v>9.6741776213682016</v>
      </c>
      <c r="X77" s="10">
        <f t="shared" si="29"/>
        <v>9.6741776213682016</v>
      </c>
      <c r="Y77" s="10">
        <f>'PDB_woody perennials'!K381</f>
        <v>3.5923609076871123E-2</v>
      </c>
      <c r="Z77" s="80">
        <f>'PDB_woody perennials'!G381</f>
        <v>364.18673372866482</v>
      </c>
      <c r="AA77" s="10">
        <f>'PDB_woody perennials'!J381</f>
        <v>2815.3235191632261</v>
      </c>
      <c r="AB77" s="10">
        <f t="shared" si="22"/>
        <v>164.75858658568814</v>
      </c>
      <c r="AC77" s="10">
        <f>Assumptions!$E$16</f>
        <v>0.5</v>
      </c>
      <c r="AD77" s="10">
        <f t="shared" si="23"/>
        <v>10.850992270363818</v>
      </c>
      <c r="AE77" s="10">
        <f t="shared" si="30"/>
        <v>10.850992270363818</v>
      </c>
      <c r="AF77" s="10">
        <f>'PDB_woody perennials'!K484</f>
        <v>3.793547255520445E-2</v>
      </c>
      <c r="AG77" s="80">
        <f>'PDB_woody perennials'!G484</f>
        <v>370.862254306176</v>
      </c>
      <c r="AH77" s="10">
        <f>'PDB_woody perennials'!J484</f>
        <v>2990.323466569801</v>
      </c>
      <c r="AI77" s="10">
        <f t="shared" si="24"/>
        <v>174.99994740657485</v>
      </c>
      <c r="AJ77" s="10">
        <f>Assumptions!$E$16</f>
        <v>0.5</v>
      </c>
      <c r="AK77" s="10">
        <f t="shared" si="25"/>
        <v>12.170960453674629</v>
      </c>
      <c r="AL77" s="10">
        <f t="shared" si="26"/>
        <v>12.170960453674629</v>
      </c>
      <c r="AM77">
        <f t="shared" si="27"/>
        <v>9.6852439438352889</v>
      </c>
    </row>
    <row r="78" spans="1:39" x14ac:dyDescent="0.2">
      <c r="A78" s="582" t="s">
        <v>23</v>
      </c>
      <c r="B78" s="582"/>
      <c r="C78" s="582"/>
      <c r="D78" s="582" t="s">
        <v>34</v>
      </c>
      <c r="E78" s="583">
        <f>Assumptions!D75</f>
        <v>236.66199999999998</v>
      </c>
      <c r="F78" s="55" t="s">
        <v>292</v>
      </c>
      <c r="G78" s="10">
        <f>'PDB_woody perennials'!K72</f>
        <v>1.7540489899921317E-3</v>
      </c>
      <c r="H78" s="80">
        <f>'PDB_woody perennials'!G72</f>
        <v>49.110092067992404</v>
      </c>
      <c r="I78" s="10">
        <f>'PDB_woody perennials'!J72</f>
        <v>116.84240470071681</v>
      </c>
      <c r="J78" s="10">
        <f>Assumptions!$E$16</f>
        <v>0.5</v>
      </c>
      <c r="K78" s="10">
        <f>'PDB_woody perennials'!K176</f>
        <v>1.814310168287961E-3</v>
      </c>
      <c r="L78" s="80">
        <f>'PDB_woody perennials'!G176</f>
        <v>48.289176074722128</v>
      </c>
      <c r="M78" s="10">
        <f>'PDB_woody perennials'!J176</f>
        <v>121.83970116592118</v>
      </c>
      <c r="N78" s="10">
        <f t="shared" si="18"/>
        <v>4.9972964652043714</v>
      </c>
      <c r="O78" s="10">
        <f>Assumptions!$E$16</f>
        <v>0.5</v>
      </c>
      <c r="P78" s="10">
        <f t="shared" si="19"/>
        <v>1.6622183949744591E-2</v>
      </c>
      <c r="Q78" s="10">
        <f t="shared" si="28"/>
        <v>1.6622183949744591E-2</v>
      </c>
      <c r="R78" s="10">
        <f>'PDB_woody perennials'!K279</f>
        <v>1.9159186775593035E-3</v>
      </c>
      <c r="S78" s="80">
        <f>'PDB_woody perennials'!G279</f>
        <v>49.174313721712963</v>
      </c>
      <c r="T78" s="10">
        <f>'PDB_woody perennials'!J279</f>
        <v>129.41323264496279</v>
      </c>
      <c r="U78" s="10">
        <f t="shared" si="20"/>
        <v>7.5735314790416055</v>
      </c>
      <c r="V78" s="10">
        <f>Assumptions!$E$16</f>
        <v>0.5</v>
      </c>
      <c r="W78" s="10">
        <f t="shared" si="21"/>
        <v>2.6602162428928443E-2</v>
      </c>
      <c r="X78" s="10">
        <f t="shared" si="29"/>
        <v>2.6602162428928443E-2</v>
      </c>
      <c r="Y78" s="10">
        <f>'PDB_woody perennials'!K382</f>
        <v>2.0232176632093823E-3</v>
      </c>
      <c r="Z78" s="80">
        <f>'PDB_woody perennials'!G382</f>
        <v>50.075675887691411</v>
      </c>
      <c r="AA78" s="10">
        <f>'PDB_woody perennials'!J382</f>
        <v>137.45753332743448</v>
      </c>
      <c r="AB78" s="10">
        <f t="shared" si="22"/>
        <v>8.0443006824716861</v>
      </c>
      <c r="AC78" s="10">
        <f>Assumptions!$E$16</f>
        <v>0.5</v>
      </c>
      <c r="AD78" s="10">
        <f t="shared" si="23"/>
        <v>2.9838180586397339E-2</v>
      </c>
      <c r="AE78" s="10">
        <f t="shared" si="30"/>
        <v>2.9838180586397339E-2</v>
      </c>
      <c r="AF78" s="10">
        <f>'PDB_woody perennials'!K485</f>
        <v>2.1365258143091156E-3</v>
      </c>
      <c r="AG78" s="80">
        <f>'PDB_woody perennials'!G485</f>
        <v>50.993559967099195</v>
      </c>
      <c r="AH78" s="10">
        <f>'PDB_woody perennials'!J485</f>
        <v>146.00186613295452</v>
      </c>
      <c r="AI78" s="10">
        <f t="shared" si="24"/>
        <v>8.5443328055200425</v>
      </c>
      <c r="AJ78" s="10">
        <f>Assumptions!$E$16</f>
        <v>0.5</v>
      </c>
      <c r="AK78" s="10">
        <f t="shared" si="25"/>
        <v>3.3467843942576632E-2</v>
      </c>
      <c r="AL78" s="10">
        <f t="shared" si="26"/>
        <v>3.3467843942576632E-2</v>
      </c>
      <c r="AM78">
        <f t="shared" si="27"/>
        <v>2.663259272691175E-2</v>
      </c>
    </row>
    <row r="79" spans="1:39" x14ac:dyDescent="0.2">
      <c r="A79" s="516"/>
      <c r="B79" s="516"/>
      <c r="C79" s="516"/>
      <c r="D79" s="516"/>
      <c r="E79" s="518"/>
      <c r="F79" s="55" t="s">
        <v>293</v>
      </c>
      <c r="G79" s="10">
        <f>'PDB_woody perennials'!K73</f>
        <v>6.4029804330672763E-2</v>
      </c>
      <c r="H79" s="80">
        <f>'PDB_woody perennials'!G73</f>
        <v>117.86422096318178</v>
      </c>
      <c r="I79" s="10">
        <f>'PDB_woody perennials'!J73</f>
        <v>6592.9778473309234</v>
      </c>
      <c r="J79" s="10">
        <f>Assumptions!$E$16</f>
        <v>0.5</v>
      </c>
      <c r="K79" s="10">
        <f>'PDB_woody perennials'!K177</f>
        <v>6.6229578383183732E-2</v>
      </c>
      <c r="L79" s="80">
        <f>'PDB_woody perennials'!G177</f>
        <v>115.89402257933311</v>
      </c>
      <c r="M79" s="10">
        <f>'PDB_woody perennials'!J177</f>
        <v>6874.9565088967238</v>
      </c>
      <c r="N79" s="10">
        <f t="shared" si="18"/>
        <v>281.97866156580039</v>
      </c>
      <c r="O79" s="10">
        <f>Assumptions!$E$16</f>
        <v>0.5</v>
      </c>
      <c r="P79" s="10">
        <f t="shared" si="19"/>
        <v>34.238101092355258</v>
      </c>
      <c r="Q79" s="10">
        <f t="shared" si="28"/>
        <v>34.238101092355258</v>
      </c>
      <c r="R79" s="10">
        <f>'PDB_woody perennials'!K280</f>
        <v>6.9938695405624821E-2</v>
      </c>
      <c r="S79" s="80">
        <f>'PDB_woody perennials'!G280</f>
        <v>118.01835293211111</v>
      </c>
      <c r="T79" s="10">
        <f>'PDB_woody perennials'!J280</f>
        <v>7302.3024317685076</v>
      </c>
      <c r="U79" s="10">
        <f t="shared" si="20"/>
        <v>427.34592287178384</v>
      </c>
      <c r="V79" s="10">
        <f>Assumptions!$E$16</f>
        <v>0.5</v>
      </c>
      <c r="W79" s="10">
        <f t="shared" si="21"/>
        <v>54.794696609703102</v>
      </c>
      <c r="X79" s="10">
        <f t="shared" si="29"/>
        <v>54.794696609703102</v>
      </c>
      <c r="Y79" s="10">
        <f>'PDB_woody perennials'!K383</f>
        <v>7.3855537577795297E-2</v>
      </c>
      <c r="Z79" s="80">
        <f>'PDB_woody perennials'!G383</f>
        <v>120.18162213045939</v>
      </c>
      <c r="AA79" s="10">
        <f>'PDB_woody perennials'!J383</f>
        <v>7756.2120918157516</v>
      </c>
      <c r="AB79" s="10">
        <f t="shared" si="22"/>
        <v>453.90966004724396</v>
      </c>
      <c r="AC79" s="10">
        <f>Assumptions!$E$16</f>
        <v>0.5</v>
      </c>
      <c r="AD79" s="10">
        <f t="shared" si="23"/>
        <v>61.460193583329783</v>
      </c>
      <c r="AE79" s="10">
        <f t="shared" si="30"/>
        <v>61.460193583329783</v>
      </c>
      <c r="AF79" s="10">
        <f>'PDB_woody perennials'!K486</f>
        <v>7.7991738325539933E-2</v>
      </c>
      <c r="AG79" s="80">
        <f>'PDB_woody perennials'!G486</f>
        <v>122.38454392103807</v>
      </c>
      <c r="AH79" s="10">
        <f>'PDB_woody perennials'!J486</f>
        <v>8238.3366856334542</v>
      </c>
      <c r="AI79" s="10">
        <f t="shared" si="24"/>
        <v>482.12459381770259</v>
      </c>
      <c r="AJ79" s="10">
        <f>Assumptions!$E$16</f>
        <v>0.5</v>
      </c>
      <c r="AK79" s="10">
        <f t="shared" si="25"/>
        <v>68.936514462452052</v>
      </c>
      <c r="AL79" s="10">
        <f t="shared" si="26"/>
        <v>68.936514462452052</v>
      </c>
      <c r="AM79">
        <f t="shared" si="27"/>
        <v>54.857376436960053</v>
      </c>
    </row>
    <row r="80" spans="1:39" ht="26" x14ac:dyDescent="0.2">
      <c r="A80" s="75" t="s">
        <v>24</v>
      </c>
      <c r="B80" s="75"/>
      <c r="C80" s="75"/>
      <c r="D80" s="75" t="s">
        <v>35</v>
      </c>
      <c r="E80" s="486">
        <f>Assumptions!D76</f>
        <v>6640.8160000000016</v>
      </c>
      <c r="F80" s="56" t="s">
        <v>323</v>
      </c>
      <c r="G80" s="10">
        <f>'PDB_woody perennials'!K74</f>
        <v>0</v>
      </c>
      <c r="H80" s="80">
        <f>'PDB_woody perennials'!G74</f>
        <v>0</v>
      </c>
      <c r="I80" s="10">
        <f>'PDB_woody perennials'!J74</f>
        <v>0</v>
      </c>
      <c r="J80" s="10">
        <f>Assumptions!$E$16</f>
        <v>0.5</v>
      </c>
      <c r="K80" s="10">
        <f>'PDB_woody perennials'!K178</f>
        <v>0</v>
      </c>
      <c r="L80" s="80">
        <f>'PDB_woody perennials'!G178</f>
        <v>0</v>
      </c>
      <c r="M80" s="10">
        <f>'PDB_woody perennials'!J178</f>
        <v>0</v>
      </c>
      <c r="N80" s="10">
        <f t="shared" si="18"/>
        <v>0</v>
      </c>
      <c r="O80" s="10">
        <f>Assumptions!$E$16</f>
        <v>0.5</v>
      </c>
      <c r="P80" s="10">
        <f t="shared" si="19"/>
        <v>0</v>
      </c>
      <c r="Q80" s="10">
        <f t="shared" si="28"/>
        <v>0</v>
      </c>
      <c r="R80" s="10">
        <f>'PDB_woody perennials'!K281</f>
        <v>0</v>
      </c>
      <c r="S80" s="80">
        <f>'PDB_woody perennials'!G281</f>
        <v>0</v>
      </c>
      <c r="T80" s="10">
        <f>'PDB_woody perennials'!J281</f>
        <v>0</v>
      </c>
      <c r="U80" s="10">
        <f t="shared" si="20"/>
        <v>0</v>
      </c>
      <c r="V80" s="10">
        <f>Assumptions!$E$16</f>
        <v>0.5</v>
      </c>
      <c r="W80" s="10">
        <f t="shared" si="21"/>
        <v>0</v>
      </c>
      <c r="X80" s="10">
        <f t="shared" si="29"/>
        <v>0</v>
      </c>
      <c r="Y80" s="10">
        <f>'PDB_woody perennials'!K384</f>
        <v>0</v>
      </c>
      <c r="Z80" s="80">
        <f>'PDB_woody perennials'!G384</f>
        <v>0</v>
      </c>
      <c r="AA80" s="10">
        <f>'PDB_woody perennials'!J384</f>
        <v>0</v>
      </c>
      <c r="AB80" s="10">
        <f t="shared" si="22"/>
        <v>0</v>
      </c>
      <c r="AC80" s="10">
        <f>Assumptions!$E$16</f>
        <v>0.5</v>
      </c>
      <c r="AD80" s="10">
        <f t="shared" si="23"/>
        <v>0</v>
      </c>
      <c r="AE80" s="10">
        <f t="shared" si="30"/>
        <v>0</v>
      </c>
      <c r="AF80" s="10">
        <f>'PDB_woody perennials'!K487</f>
        <v>0</v>
      </c>
      <c r="AG80" s="80">
        <f>'PDB_woody perennials'!G487</f>
        <v>0</v>
      </c>
      <c r="AH80" s="10">
        <f>'PDB_woody perennials'!J487</f>
        <v>0</v>
      </c>
      <c r="AI80" s="10">
        <f t="shared" si="24"/>
        <v>0</v>
      </c>
      <c r="AJ80" s="10">
        <f>Assumptions!$E$16</f>
        <v>0.5</v>
      </c>
      <c r="AK80" s="10">
        <f t="shared" si="25"/>
        <v>0</v>
      </c>
      <c r="AL80" s="10">
        <f t="shared" si="26"/>
        <v>0</v>
      </c>
      <c r="AM80">
        <f t="shared" si="27"/>
        <v>0</v>
      </c>
    </row>
    <row r="81" spans="1:39" x14ac:dyDescent="0.2">
      <c r="A81" s="79" t="s">
        <v>25</v>
      </c>
      <c r="B81" s="79"/>
      <c r="C81" s="79"/>
      <c r="D81" s="79" t="s">
        <v>36</v>
      </c>
      <c r="E81" s="485">
        <f>Assumptions!D77</f>
        <v>837.08299999999997</v>
      </c>
      <c r="F81" s="56" t="s">
        <v>323</v>
      </c>
      <c r="G81" s="10">
        <f>'PDB_woody perennials'!K75</f>
        <v>0</v>
      </c>
      <c r="H81" s="80">
        <f>'PDB_woody perennials'!G75</f>
        <v>0</v>
      </c>
      <c r="I81" s="10">
        <f>'PDB_woody perennials'!J75</f>
        <v>0</v>
      </c>
      <c r="J81" s="10">
        <f>Assumptions!$E$16</f>
        <v>0.5</v>
      </c>
      <c r="K81" s="10">
        <f>'PDB_woody perennials'!K179</f>
        <v>0</v>
      </c>
      <c r="L81" s="80">
        <f>'PDB_woody perennials'!G179</f>
        <v>0</v>
      </c>
      <c r="M81" s="10">
        <f>'PDB_woody perennials'!J179</f>
        <v>0</v>
      </c>
      <c r="N81" s="10">
        <f t="shared" si="18"/>
        <v>0</v>
      </c>
      <c r="O81" s="10">
        <f>Assumptions!$E$16</f>
        <v>0.5</v>
      </c>
      <c r="P81" s="10">
        <f t="shared" si="19"/>
        <v>0</v>
      </c>
      <c r="Q81" s="10">
        <f t="shared" si="28"/>
        <v>0</v>
      </c>
      <c r="R81" s="10">
        <f>'PDB_woody perennials'!K282</f>
        <v>0</v>
      </c>
      <c r="S81" s="80">
        <f>'PDB_woody perennials'!G282</f>
        <v>0</v>
      </c>
      <c r="T81" s="10">
        <f>'PDB_woody perennials'!J282</f>
        <v>0</v>
      </c>
      <c r="U81" s="10">
        <f t="shared" si="20"/>
        <v>0</v>
      </c>
      <c r="V81" s="10">
        <f>Assumptions!$E$16</f>
        <v>0.5</v>
      </c>
      <c r="W81" s="10">
        <f t="shared" si="21"/>
        <v>0</v>
      </c>
      <c r="X81" s="10">
        <f t="shared" si="29"/>
        <v>0</v>
      </c>
      <c r="Y81" s="10">
        <f>'PDB_woody perennials'!K385</f>
        <v>0</v>
      </c>
      <c r="Z81" s="80">
        <f>'PDB_woody perennials'!G385</f>
        <v>0</v>
      </c>
      <c r="AA81" s="10">
        <f>'PDB_woody perennials'!J385</f>
        <v>0</v>
      </c>
      <c r="AB81" s="10">
        <f t="shared" si="22"/>
        <v>0</v>
      </c>
      <c r="AC81" s="10">
        <f>Assumptions!$E$16</f>
        <v>0.5</v>
      </c>
      <c r="AD81" s="10">
        <f t="shared" si="23"/>
        <v>0</v>
      </c>
      <c r="AE81" s="10">
        <f t="shared" si="30"/>
        <v>0</v>
      </c>
      <c r="AF81" s="10">
        <f>'PDB_woody perennials'!K488</f>
        <v>0</v>
      </c>
      <c r="AG81" s="80">
        <f>'PDB_woody perennials'!G488</f>
        <v>0</v>
      </c>
      <c r="AH81" s="10">
        <f>'PDB_woody perennials'!J488</f>
        <v>0</v>
      </c>
      <c r="AI81" s="10">
        <f t="shared" si="24"/>
        <v>0</v>
      </c>
      <c r="AJ81" s="10">
        <f>Assumptions!$E$16</f>
        <v>0.5</v>
      </c>
      <c r="AK81" s="10">
        <f t="shared" si="25"/>
        <v>0</v>
      </c>
      <c r="AL81" s="10">
        <f t="shared" si="26"/>
        <v>0</v>
      </c>
      <c r="AM81">
        <f t="shared" si="27"/>
        <v>0</v>
      </c>
    </row>
    <row r="82" spans="1:39" x14ac:dyDescent="0.2">
      <c r="A82" s="592" t="s">
        <v>26</v>
      </c>
      <c r="B82" s="592"/>
      <c r="C82" s="592"/>
      <c r="D82" s="592" t="s">
        <v>34</v>
      </c>
      <c r="E82" s="593">
        <f>Assumptions!D78</f>
        <v>1849.3409999999997</v>
      </c>
      <c r="F82" s="56" t="s">
        <v>308</v>
      </c>
      <c r="G82" s="10">
        <f>'PDB_woody perennials'!K76</f>
        <v>2.1706356251152626E-2</v>
      </c>
      <c r="H82" s="80">
        <f>'PDB_woody perennials'!G76</f>
        <v>892.9107648725892</v>
      </c>
      <c r="I82" s="10">
        <f>'PDB_woody perennials'!J76</f>
        <v>1359.5993792558495</v>
      </c>
      <c r="J82" s="10">
        <f>Assumptions!$E$16</f>
        <v>0.5</v>
      </c>
      <c r="K82" s="10">
        <f>'PDB_woody perennials'!K180</f>
        <v>2.2452088332563513E-2</v>
      </c>
      <c r="L82" s="80">
        <f>'PDB_woody perennials'!G180</f>
        <v>877.98501954040239</v>
      </c>
      <c r="M82" s="10">
        <f>'PDB_woody perennials'!J180</f>
        <v>1417.7488258497704</v>
      </c>
      <c r="N82" s="10">
        <f t="shared" si="18"/>
        <v>58.149446593920857</v>
      </c>
      <c r="O82" s="10">
        <f>Assumptions!$E$16</f>
        <v>0.5</v>
      </c>
      <c r="P82" s="10">
        <f t="shared" si="19"/>
        <v>2.3935569375967254</v>
      </c>
      <c r="Q82" s="10">
        <f t="shared" si="28"/>
        <v>2.3935569375967254</v>
      </c>
      <c r="R82" s="10">
        <f>'PDB_woody perennials'!K283</f>
        <v>2.3709493634796377E-2</v>
      </c>
      <c r="S82" s="80">
        <f>'PDB_woody perennials'!G283</f>
        <v>894.07843130387209</v>
      </c>
      <c r="T82" s="10">
        <f>'PDB_woody perennials'!J283</f>
        <v>1505.8758095767364</v>
      </c>
      <c r="U82" s="10">
        <f t="shared" si="20"/>
        <v>88.126983726966046</v>
      </c>
      <c r="V82" s="10">
        <f>Assumptions!$E$16</f>
        <v>0.5</v>
      </c>
      <c r="W82" s="10">
        <f t="shared" si="21"/>
        <v>3.8306512928352263</v>
      </c>
      <c r="X82" s="10">
        <f t="shared" si="29"/>
        <v>3.8306512928352263</v>
      </c>
      <c r="Y82" s="10">
        <f>'PDB_woody perennials'!K386</f>
        <v>2.5037318582216101E-2</v>
      </c>
      <c r="Z82" s="80">
        <f>'PDB_woody perennials'!G386</f>
        <v>910.46683432166196</v>
      </c>
      <c r="AA82" s="10">
        <f>'PDB_woody perennials'!J386</f>
        <v>1599.4807490030512</v>
      </c>
      <c r="AB82" s="10">
        <f t="shared" si="22"/>
        <v>93.604939426314786</v>
      </c>
      <c r="AC82" s="10">
        <f>Assumptions!$E$16</f>
        <v>0.5</v>
      </c>
      <c r="AD82" s="10">
        <f t="shared" si="23"/>
        <v>4.2966305970237535</v>
      </c>
      <c r="AE82" s="10">
        <f t="shared" si="30"/>
        <v>4.2966305970237535</v>
      </c>
      <c r="AF82" s="10">
        <f>'PDB_woody perennials'!K489</f>
        <v>2.6439506952075295E-2</v>
      </c>
      <c r="AG82" s="80">
        <f>'PDB_woody perennials'!G489</f>
        <v>927.15563576543991</v>
      </c>
      <c r="AH82" s="10">
        <f>'PDB_woody perennials'!J489</f>
        <v>1698.9041527604134</v>
      </c>
      <c r="AI82" s="10">
        <f t="shared" si="24"/>
        <v>99.423403757362166</v>
      </c>
      <c r="AJ82" s="10">
        <f>Assumptions!$E$16</f>
        <v>0.5</v>
      </c>
      <c r="AK82" s="10">
        <f t="shared" si="25"/>
        <v>4.8192939205432372</v>
      </c>
      <c r="AL82" s="10">
        <f t="shared" si="26"/>
        <v>4.8192939205432372</v>
      </c>
      <c r="AM82">
        <f t="shared" si="27"/>
        <v>3.8350331869997358</v>
      </c>
    </row>
    <row r="83" spans="1:39" x14ac:dyDescent="0.2">
      <c r="A83" s="516"/>
      <c r="B83" s="516"/>
      <c r="C83" s="516"/>
      <c r="D83" s="516"/>
      <c r="E83" s="518"/>
      <c r="F83" s="56" t="s">
        <v>309</v>
      </c>
      <c r="G83" s="10">
        <f>'PDB_woody perennials'!K77</f>
        <v>7.1955873339449956E-3</v>
      </c>
      <c r="H83" s="80">
        <f>'PDB_woody perennials'!G77</f>
        <v>223.2276912181473</v>
      </c>
      <c r="I83" s="10">
        <f>'PDB_woody perennials'!J77</f>
        <v>471.5161472785154</v>
      </c>
      <c r="J83" s="10">
        <f>Assumptions!$E$16</f>
        <v>0.5</v>
      </c>
      <c r="K83" s="10">
        <f>'PDB_woody perennials'!K181</f>
        <v>7.4427951221812949E-3</v>
      </c>
      <c r="L83" s="80">
        <f>'PDB_woody perennials'!G181</f>
        <v>219.4962548851006</v>
      </c>
      <c r="M83" s="10">
        <f>'PDB_woody perennials'!J181</f>
        <v>491.68267827483749</v>
      </c>
      <c r="N83" s="10">
        <f t="shared" si="18"/>
        <v>20.166530996322081</v>
      </c>
      <c r="O83" s="10">
        <f>Assumptions!$E$16</f>
        <v>0.5</v>
      </c>
      <c r="P83" s="10">
        <f t="shared" si="19"/>
        <v>0.27517482397303045</v>
      </c>
      <c r="Q83" s="10">
        <f t="shared" si="28"/>
        <v>0.27517482397303045</v>
      </c>
      <c r="R83" s="10">
        <f>'PDB_woody perennials'!K284</f>
        <v>7.8596209386239593E-3</v>
      </c>
      <c r="S83" s="80">
        <f>'PDB_woody perennials'!G284</f>
        <v>223.51960782596802</v>
      </c>
      <c r="T83" s="10">
        <f>'PDB_woody perennials'!J284</f>
        <v>522.2455753106974</v>
      </c>
      <c r="U83" s="10">
        <f t="shared" si="20"/>
        <v>30.562897035859919</v>
      </c>
      <c r="V83" s="10">
        <f>Assumptions!$E$16</f>
        <v>0.5</v>
      </c>
      <c r="W83" s="10">
        <f t="shared" si="21"/>
        <v>0.4403901067280967</v>
      </c>
      <c r="X83" s="10">
        <f t="shared" si="29"/>
        <v>0.4403901067280967</v>
      </c>
      <c r="Y83" s="10">
        <f>'PDB_woody perennials'!K387</f>
        <v>8.2997906411203075E-3</v>
      </c>
      <c r="Z83" s="80">
        <f>'PDB_woody perennials'!G387</f>
        <v>227.61670858041549</v>
      </c>
      <c r="AA83" s="10">
        <f>'PDB_woody perennials'!J387</f>
        <v>554.70825591937285</v>
      </c>
      <c r="AB83" s="10">
        <f t="shared" si="22"/>
        <v>32.462680608675441</v>
      </c>
      <c r="AC83" s="10">
        <f>Assumptions!$E$16</f>
        <v>0.5</v>
      </c>
      <c r="AD83" s="10">
        <f t="shared" si="23"/>
        <v>0.49396132995286385</v>
      </c>
      <c r="AE83" s="10">
        <f t="shared" si="30"/>
        <v>0.49396132995286385</v>
      </c>
      <c r="AF83" s="10">
        <f>'PDB_woody perennials'!K490</f>
        <v>8.7646115791544382E-3</v>
      </c>
      <c r="AG83" s="80">
        <f>'PDB_woody perennials'!G490</f>
        <v>231.78890894135998</v>
      </c>
      <c r="AH83" s="10">
        <f>'PDB_woody perennials'!J490</f>
        <v>589.18881026814449</v>
      </c>
      <c r="AI83" s="10">
        <f t="shared" si="24"/>
        <v>34.480554348771648</v>
      </c>
      <c r="AJ83" s="10">
        <f>Assumptions!$E$16</f>
        <v>0.5</v>
      </c>
      <c r="AK83" s="10">
        <f t="shared" si="25"/>
        <v>0.55404922081833108</v>
      </c>
      <c r="AL83" s="10">
        <f t="shared" si="26"/>
        <v>0.55404922081833108</v>
      </c>
      <c r="AM83">
        <f t="shared" si="27"/>
        <v>0.44089387036808048</v>
      </c>
    </row>
    <row r="84" spans="1:39" x14ac:dyDescent="0.2">
      <c r="A84" s="516"/>
      <c r="B84" s="516"/>
      <c r="C84" s="516"/>
      <c r="D84" s="516"/>
      <c r="E84" s="518"/>
      <c r="F84" s="56" t="s">
        <v>310</v>
      </c>
      <c r="G84" s="10">
        <f>'PDB_woody perennials'!K78</f>
        <v>1.594589990901938E-3</v>
      </c>
      <c r="H84" s="80">
        <f>'PDB_woody perennials'!G78</f>
        <v>44.64553824362946</v>
      </c>
      <c r="I84" s="10">
        <f>'PDB_woody perennials'!J78</f>
        <v>106.22036790974255</v>
      </c>
      <c r="J84" s="10">
        <f>Assumptions!$E$16</f>
        <v>0.5</v>
      </c>
      <c r="K84" s="10">
        <f>'PDB_woody perennials'!K182</f>
        <v>1.6493728802617826E-3</v>
      </c>
      <c r="L84" s="80">
        <f>'PDB_woody perennials'!G182</f>
        <v>43.899250977020117</v>
      </c>
      <c r="M84" s="10">
        <f>'PDB_woody perennials'!J182</f>
        <v>110.76336469629199</v>
      </c>
      <c r="N84" s="10">
        <f t="shared" si="18"/>
        <v>4.5429967865494376</v>
      </c>
      <c r="O84" s="10">
        <f>Assumptions!$E$16</f>
        <v>0.5</v>
      </c>
      <c r="P84" s="10">
        <f t="shared" si="19"/>
        <v>1.3737342107226961E-2</v>
      </c>
      <c r="Q84" s="10">
        <f t="shared" si="28"/>
        <v>1.3737342107226961E-2</v>
      </c>
      <c r="R84" s="10">
        <f>'PDB_woody perennials'!K285</f>
        <v>1.7417442523266395E-3</v>
      </c>
      <c r="S84" s="80">
        <f>'PDB_woody perennials'!G285</f>
        <v>44.703921565193603</v>
      </c>
      <c r="T84" s="10">
        <f>'PDB_woody perennials'!J285</f>
        <v>117.64839331360254</v>
      </c>
      <c r="U84" s="10">
        <f t="shared" si="20"/>
        <v>6.885028617310553</v>
      </c>
      <c r="V84" s="10">
        <f>Assumptions!$E$16</f>
        <v>0.5</v>
      </c>
      <c r="W84" s="10">
        <f t="shared" si="21"/>
        <v>2.1985258205725989E-2</v>
      </c>
      <c r="X84" s="10">
        <f t="shared" si="29"/>
        <v>2.1985258205725989E-2</v>
      </c>
      <c r="Y84" s="10">
        <f>'PDB_woody perennials'!K388</f>
        <v>1.8392887847358023E-3</v>
      </c>
      <c r="Z84" s="80">
        <f>'PDB_woody perennials'!G388</f>
        <v>45.523341716083102</v>
      </c>
      <c r="AA84" s="10">
        <f>'PDB_woody perennials'!J388</f>
        <v>124.96139393403134</v>
      </c>
      <c r="AB84" s="10">
        <f t="shared" si="22"/>
        <v>7.3130006204287952</v>
      </c>
      <c r="AC84" s="10">
        <f>Assumptions!$E$16</f>
        <v>0.5</v>
      </c>
      <c r="AD84" s="10">
        <f t="shared" si="23"/>
        <v>2.4659653377187851E-2</v>
      </c>
      <c r="AE84" s="10">
        <f t="shared" si="30"/>
        <v>2.4659653377187851E-2</v>
      </c>
      <c r="AF84" s="10">
        <f>'PDB_woody perennials'!K491</f>
        <v>1.9422961948264688E-3</v>
      </c>
      <c r="AG84" s="80">
        <f>'PDB_woody perennials'!G491</f>
        <v>46.357781788272</v>
      </c>
      <c r="AH84" s="10">
        <f>'PDB_woody perennials'!J491</f>
        <v>132.72896921177681</v>
      </c>
      <c r="AI84" s="10">
        <f t="shared" si="24"/>
        <v>7.767575277745479</v>
      </c>
      <c r="AJ84" s="10">
        <f>Assumptions!$E$16</f>
        <v>0.5</v>
      </c>
      <c r="AK84" s="10">
        <f t="shared" si="25"/>
        <v>2.765937515915419E-2</v>
      </c>
      <c r="AL84" s="10">
        <f t="shared" si="26"/>
        <v>2.765937515915419E-2</v>
      </c>
      <c r="AM84">
        <f t="shared" si="27"/>
        <v>2.2010407212323748E-2</v>
      </c>
    </row>
    <row r="85" spans="1:39" x14ac:dyDescent="0.2">
      <c r="A85" s="516"/>
      <c r="B85" s="516"/>
      <c r="C85" s="516"/>
      <c r="D85" s="516"/>
      <c r="E85" s="518"/>
      <c r="F85" s="56" t="s">
        <v>185</v>
      </c>
      <c r="G85" s="10">
        <f>'PDB_woody perennials'!K79</f>
        <v>2.4915468607842771E-3</v>
      </c>
      <c r="H85" s="80">
        <f>'PDB_woody perennials'!G79</f>
        <v>44.64553824362946</v>
      </c>
      <c r="I85" s="10">
        <f>'PDB_woody perennials'!J79</f>
        <v>178.25389630251155</v>
      </c>
      <c r="J85" s="10">
        <f>Assumptions!$E$16</f>
        <v>0.5</v>
      </c>
      <c r="K85" s="10">
        <f>'PDB_woody perennials'!K183</f>
        <v>2.5771451254090346E-3</v>
      </c>
      <c r="L85" s="80">
        <f>'PDB_woody perennials'!G183</f>
        <v>43.899250977020117</v>
      </c>
      <c r="M85" s="10">
        <f>'PDB_woody perennials'!J183</f>
        <v>185.8777343104945</v>
      </c>
      <c r="N85" s="10">
        <f t="shared" si="18"/>
        <v>7.623838007982954</v>
      </c>
      <c r="O85" s="10">
        <f>Assumptions!$E$16</f>
        <v>0.5</v>
      </c>
      <c r="P85" s="10">
        <f t="shared" si="19"/>
        <v>3.6020851091832555E-2</v>
      </c>
      <c r="Q85" s="10">
        <f t="shared" si="28"/>
        <v>3.6020851091832555E-2</v>
      </c>
      <c r="R85" s="10">
        <f>'PDB_woody perennials'!K286</f>
        <v>2.7214753942603736E-3</v>
      </c>
      <c r="S85" s="80">
        <f>'PDB_woody perennials'!G286</f>
        <v>44.703921565193603</v>
      </c>
      <c r="T85" s="10">
        <f>'PDB_woody perennials'!J286</f>
        <v>197.43185713402633</v>
      </c>
      <c r="U85" s="10">
        <f t="shared" si="20"/>
        <v>11.554122823531827</v>
      </c>
      <c r="V85" s="10">
        <f>Assumptions!$E$16</f>
        <v>0.5</v>
      </c>
      <c r="W85" s="10">
        <f t="shared" si="21"/>
        <v>5.7647811771924108E-2</v>
      </c>
      <c r="X85" s="10">
        <f t="shared" si="29"/>
        <v>5.7647811771924108E-2</v>
      </c>
      <c r="Y85" s="10">
        <f>'PDB_woody perennials'!K389</f>
        <v>2.8738887261496905E-3</v>
      </c>
      <c r="Z85" s="80">
        <f>'PDB_woody perennials'!G389</f>
        <v>45.523341716083102</v>
      </c>
      <c r="AA85" s="10">
        <f>'PDB_woody perennials'!J389</f>
        <v>209.70418192357877</v>
      </c>
      <c r="AB85" s="10">
        <f t="shared" si="22"/>
        <v>12.272324789552442</v>
      </c>
      <c r="AC85" s="10">
        <f>Assumptions!$E$16</f>
        <v>0.5</v>
      </c>
      <c r="AD85" s="10">
        <f t="shared" si="23"/>
        <v>6.4660375736627251E-2</v>
      </c>
      <c r="AE85" s="10">
        <f t="shared" si="30"/>
        <v>6.4660375736627251E-2</v>
      </c>
      <c r="AF85" s="10">
        <f>'PDB_woody perennials'!K492</f>
        <v>3.0348378044163567E-3</v>
      </c>
      <c r="AG85" s="80">
        <f>'PDB_woody perennials'!G492</f>
        <v>46.357781788272</v>
      </c>
      <c r="AH85" s="10">
        <f>'PDB_woody perennials'!J492</f>
        <v>222.73935196985201</v>
      </c>
      <c r="AI85" s="10">
        <f t="shared" si="24"/>
        <v>13.035170046273237</v>
      </c>
      <c r="AJ85" s="10">
        <f>Assumptions!$E$16</f>
        <v>0.5</v>
      </c>
      <c r="AK85" s="10">
        <f t="shared" si="25"/>
        <v>7.2525982546280496E-2</v>
      </c>
      <c r="AL85" s="10">
        <f t="shared" si="26"/>
        <v>7.2525982546280496E-2</v>
      </c>
      <c r="AM85">
        <f t="shared" si="27"/>
        <v>5.7713755286666099E-2</v>
      </c>
    </row>
    <row r="86" spans="1:39" x14ac:dyDescent="0.2">
      <c r="A86" s="516"/>
      <c r="B86" s="516"/>
      <c r="C86" s="516"/>
      <c r="D86" s="516"/>
      <c r="E86" s="518"/>
      <c r="F86" s="56" t="s">
        <v>311</v>
      </c>
      <c r="G86" s="10">
        <f>'PDB_woody perennials'!K80</f>
        <v>6.1042898089214807E-3</v>
      </c>
      <c r="H86" s="80">
        <f>'PDB_woody perennials'!G80</f>
        <v>223.2276912181473</v>
      </c>
      <c r="I86" s="10">
        <f>'PDB_woody perennials'!J80</f>
        <v>389.61573564736187</v>
      </c>
      <c r="J86" s="10">
        <f>Assumptions!$E$16</f>
        <v>0.5</v>
      </c>
      <c r="K86" s="10">
        <f>'PDB_woody perennials'!K184</f>
        <v>6.3140055572521378E-3</v>
      </c>
      <c r="L86" s="80">
        <f>'PDB_woody perennials'!G184</f>
        <v>219.4962548851006</v>
      </c>
      <c r="M86" s="10">
        <f>'PDB_woody perennials'!J184</f>
        <v>406.27942331731197</v>
      </c>
      <c r="N86" s="10">
        <f t="shared" si="18"/>
        <v>16.663687669950093</v>
      </c>
      <c r="O86" s="10">
        <f>Assumptions!$E$16</f>
        <v>0.5</v>
      </c>
      <c r="P86" s="10">
        <f t="shared" si="19"/>
        <v>0.19289346367936119</v>
      </c>
      <c r="Q86" s="10">
        <f t="shared" si="28"/>
        <v>0.19289346367936119</v>
      </c>
      <c r="R86" s="10">
        <f>'PDB_woody perennials'!K287</f>
        <v>6.6676147159379171E-3</v>
      </c>
      <c r="S86" s="80">
        <f>'PDB_woody perennials'!G287</f>
        <v>223.51960782596802</v>
      </c>
      <c r="T86" s="10">
        <f>'PDB_woody perennials'!J287</f>
        <v>431.53367108988596</v>
      </c>
      <c r="U86" s="10">
        <f t="shared" si="20"/>
        <v>25.25424777257399</v>
      </c>
      <c r="V86" s="10">
        <f>Assumptions!$E$16</f>
        <v>0.5</v>
      </c>
      <c r="W86" s="10">
        <f t="shared" si="21"/>
        <v>0.30870692249532067</v>
      </c>
      <c r="X86" s="10">
        <f t="shared" si="29"/>
        <v>0.30870692249532067</v>
      </c>
      <c r="Y86" s="10">
        <f>'PDB_woody perennials'!K390</f>
        <v>7.0410273790667442E-3</v>
      </c>
      <c r="Z86" s="80">
        <f>'PDB_woody perennials'!G390</f>
        <v>227.61670858041549</v>
      </c>
      <c r="AA86" s="10">
        <f>'PDB_woody perennials'!J390</f>
        <v>458.3577178578181</v>
      </c>
      <c r="AB86" s="10">
        <f t="shared" si="22"/>
        <v>26.824046767932145</v>
      </c>
      <c r="AC86" s="10">
        <f>Assumptions!$E$16</f>
        <v>0.5</v>
      </c>
      <c r="AD86" s="10">
        <f t="shared" si="23"/>
        <v>0.34625955413569126</v>
      </c>
      <c r="AE86" s="10">
        <f t="shared" si="30"/>
        <v>0.34625955413569126</v>
      </c>
      <c r="AF86" s="10">
        <f>'PDB_woody perennials'!K493</f>
        <v>7.4353526208200734E-3</v>
      </c>
      <c r="AG86" s="80">
        <f>'PDB_woody perennials'!G493</f>
        <v>231.78890894135998</v>
      </c>
      <c r="AH86" s="10">
        <f>'PDB_woody perennials'!J493</f>
        <v>486.84914201299352</v>
      </c>
      <c r="AI86" s="10">
        <f t="shared" si="24"/>
        <v>28.491424155175423</v>
      </c>
      <c r="AJ86" s="10">
        <f>Assumptions!$E$16</f>
        <v>0.5</v>
      </c>
      <c r="AK86" s="10">
        <f t="shared" si="25"/>
        <v>0.3883802729823132</v>
      </c>
      <c r="AL86" s="10">
        <f t="shared" si="26"/>
        <v>0.3883802729823132</v>
      </c>
      <c r="AM86">
        <f t="shared" si="27"/>
        <v>0.30906005332317155</v>
      </c>
    </row>
    <row r="87" spans="1:39" x14ac:dyDescent="0.2">
      <c r="A87" s="516"/>
      <c r="B87" s="516"/>
      <c r="C87" s="516"/>
      <c r="D87" s="516"/>
      <c r="E87" s="518"/>
      <c r="F87" s="56" t="s">
        <v>295</v>
      </c>
      <c r="G87" s="10">
        <f>'PDB_woody perennials'!K81</f>
        <v>3.6002852138332809E-3</v>
      </c>
      <c r="H87" s="80">
        <f>'PDB_woody perennials'!G81</f>
        <v>89.29107648725892</v>
      </c>
      <c r="I87" s="10">
        <f>'PDB_woody perennials'!J81</f>
        <v>244.52368657262221</v>
      </c>
      <c r="J87" s="10">
        <f>Assumptions!$E$16</f>
        <v>0.5</v>
      </c>
      <c r="K87" s="10">
        <f>'PDB_woody perennials'!K185</f>
        <v>3.7239747062160554E-3</v>
      </c>
      <c r="L87" s="80">
        <f>'PDB_woody perennials'!G185</f>
        <v>87.798501954040233</v>
      </c>
      <c r="M87" s="10">
        <f>'PDB_woody perennials'!J185</f>
        <v>254.98185334604719</v>
      </c>
      <c r="N87" s="10">
        <f t="shared" si="18"/>
        <v>10.458166773424978</v>
      </c>
      <c r="O87" s="10">
        <f>Assumptions!$E$16</f>
        <v>0.5</v>
      </c>
      <c r="P87" s="10">
        <f t="shared" si="19"/>
        <v>7.140090565231029E-2</v>
      </c>
      <c r="Q87" s="10">
        <f t="shared" si="28"/>
        <v>7.140090565231029E-2</v>
      </c>
      <c r="R87" s="10">
        <f>'PDB_woody perennials'!K288</f>
        <v>3.932531944706239E-3</v>
      </c>
      <c r="S87" s="80">
        <f>'PDB_woody perennials'!G288</f>
        <v>89.407843130387207</v>
      </c>
      <c r="T87" s="10">
        <f>'PDB_woody perennials'!J288</f>
        <v>270.83147440077113</v>
      </c>
      <c r="U87" s="10">
        <f t="shared" si="20"/>
        <v>15.84962105472394</v>
      </c>
      <c r="V87" s="10">
        <f>Assumptions!$E$16</f>
        <v>0.5</v>
      </c>
      <c r="W87" s="10">
        <f t="shared" si="21"/>
        <v>0.1142700920335159</v>
      </c>
      <c r="X87" s="10">
        <f t="shared" si="29"/>
        <v>0.1142700920335159</v>
      </c>
      <c r="Y87" s="10">
        <f>'PDB_woody perennials'!K391</f>
        <v>4.1527692092863016E-3</v>
      </c>
      <c r="Z87" s="80">
        <f>'PDB_woody perennials'!G391</f>
        <v>91.046683432166205</v>
      </c>
      <c r="AA87" s="10">
        <f>'PDB_woody perennials'!J391</f>
        <v>287.66630473326063</v>
      </c>
      <c r="AB87" s="10">
        <f t="shared" si="22"/>
        <v>16.834830332489503</v>
      </c>
      <c r="AC87" s="10">
        <f>Assumptions!$E$16</f>
        <v>0.5</v>
      </c>
      <c r="AD87" s="10">
        <f t="shared" si="23"/>
        <v>0.12817046925525605</v>
      </c>
      <c r="AE87" s="10">
        <f t="shared" si="30"/>
        <v>0.12817046925525605</v>
      </c>
      <c r="AF87" s="10">
        <f>'PDB_woody perennials'!K494</f>
        <v>4.3853406273816342E-3</v>
      </c>
      <c r="AG87" s="80">
        <f>'PDB_woody perennials'!G494</f>
        <v>92.715563576544</v>
      </c>
      <c r="AH87" s="10">
        <f>'PDB_woody perennials'!J494</f>
        <v>305.54758475536153</v>
      </c>
      <c r="AI87" s="10">
        <f t="shared" si="24"/>
        <v>17.881280022100896</v>
      </c>
      <c r="AJ87" s="10">
        <f>Assumptions!$E$16</f>
        <v>0.5</v>
      </c>
      <c r="AK87" s="10">
        <f t="shared" si="25"/>
        <v>0.14376175687592882</v>
      </c>
      <c r="AL87" s="10">
        <f t="shared" si="26"/>
        <v>0.14376175687592882</v>
      </c>
      <c r="AM87">
        <f t="shared" si="27"/>
        <v>0.11440080595425275</v>
      </c>
    </row>
    <row r="88" spans="1:39" x14ac:dyDescent="0.2">
      <c r="A88" s="516"/>
      <c r="B88" s="516"/>
      <c r="C88" s="516"/>
      <c r="D88" s="516"/>
      <c r="E88" s="518"/>
      <c r="F88" s="56" t="s">
        <v>312</v>
      </c>
      <c r="G88" s="10">
        <f>'PDB_woody perennials'!K82</f>
        <v>3.189179981803876E-2</v>
      </c>
      <c r="H88" s="80">
        <f>'PDB_woody perennials'!G82</f>
        <v>892.9107648725892</v>
      </c>
      <c r="I88" s="10">
        <f>'PDB_woody perennials'!J82</f>
        <v>2124.407358194851</v>
      </c>
      <c r="J88" s="10">
        <f>Assumptions!$E$16</f>
        <v>0.5</v>
      </c>
      <c r="K88" s="10">
        <f>'PDB_woody perennials'!K186</f>
        <v>3.2987457605235658E-2</v>
      </c>
      <c r="L88" s="80">
        <f>'PDB_woody perennials'!G186</f>
        <v>877.98501954040239</v>
      </c>
      <c r="M88" s="10">
        <f>'PDB_woody perennials'!J186</f>
        <v>2215.26729392584</v>
      </c>
      <c r="N88" s="10">
        <f t="shared" si="18"/>
        <v>90.859935730989037</v>
      </c>
      <c r="O88" s="10">
        <f>Assumptions!$E$16</f>
        <v>0.5</v>
      </c>
      <c r="P88" s="10">
        <f t="shared" si="19"/>
        <v>5.4949368428908016</v>
      </c>
      <c r="Q88" s="10">
        <f t="shared" si="28"/>
        <v>5.4949368428908016</v>
      </c>
      <c r="R88" s="10">
        <f>'PDB_woody perennials'!K289</f>
        <v>3.4834885046532794E-2</v>
      </c>
      <c r="S88" s="80">
        <f>'PDB_woody perennials'!G289</f>
        <v>894.07843130387209</v>
      </c>
      <c r="T88" s="10">
        <f>'PDB_woody perennials'!J289</f>
        <v>2352.9678662720507</v>
      </c>
      <c r="U88" s="10">
        <f t="shared" si="20"/>
        <v>137.70057234621072</v>
      </c>
      <c r="V88" s="10">
        <f>Assumptions!$E$16</f>
        <v>0.5</v>
      </c>
      <c r="W88" s="10">
        <f t="shared" si="21"/>
        <v>8.7941032822903775</v>
      </c>
      <c r="X88" s="10">
        <f t="shared" si="29"/>
        <v>8.7941032822903775</v>
      </c>
      <c r="Y88" s="10">
        <f>'PDB_woody perennials'!K392</f>
        <v>3.6785775694716041E-2</v>
      </c>
      <c r="Z88" s="80">
        <f>'PDB_woody perennials'!G392</f>
        <v>910.46683432166196</v>
      </c>
      <c r="AA88" s="10">
        <f>'PDB_woody perennials'!J392</f>
        <v>2499.2278786806264</v>
      </c>
      <c r="AB88" s="10">
        <f t="shared" si="22"/>
        <v>146.26001240857568</v>
      </c>
      <c r="AC88" s="10">
        <f>Assumptions!$E$16</f>
        <v>0.5</v>
      </c>
      <c r="AD88" s="10">
        <f t="shared" si="23"/>
        <v>9.8638613508751245</v>
      </c>
      <c r="AE88" s="10">
        <f t="shared" si="30"/>
        <v>9.8638613508751245</v>
      </c>
      <c r="AF88" s="10">
        <f>'PDB_woody perennials'!K495</f>
        <v>3.8845923896529376E-2</v>
      </c>
      <c r="AG88" s="80">
        <f>'PDB_woody perennials'!G495</f>
        <v>927.15563576543991</v>
      </c>
      <c r="AH88" s="10">
        <f>'PDB_woody perennials'!J495</f>
        <v>2654.5793842355365</v>
      </c>
      <c r="AI88" s="10">
        <f t="shared" si="24"/>
        <v>155.35150555491009</v>
      </c>
      <c r="AJ88" s="10">
        <f>Assumptions!$E$16</f>
        <v>0.5</v>
      </c>
      <c r="AK88" s="10">
        <f t="shared" si="25"/>
        <v>11.063750063661715</v>
      </c>
      <c r="AL88" s="10">
        <f t="shared" si="26"/>
        <v>11.063750063661715</v>
      </c>
      <c r="AM88">
        <f t="shared" si="27"/>
        <v>8.8041628849295037</v>
      </c>
    </row>
    <row r="89" spans="1:39" x14ac:dyDescent="0.2">
      <c r="A89" s="516"/>
      <c r="B89" s="516"/>
      <c r="C89" s="516"/>
      <c r="D89" s="516"/>
      <c r="E89" s="518"/>
      <c r="F89" s="56" t="s">
        <v>313</v>
      </c>
      <c r="G89" s="10">
        <f>'PDB_woody perennials'!K83</f>
        <v>4.4972420837156205E-2</v>
      </c>
      <c r="H89" s="80">
        <f>'PDB_woody perennials'!G83</f>
        <v>223.2276912181473</v>
      </c>
      <c r="I89" s="10">
        <f>'PDB_woody perennials'!J83</f>
        <v>3951.0942547491541</v>
      </c>
      <c r="J89" s="10">
        <f>Assumptions!$E$16</f>
        <v>0.5</v>
      </c>
      <c r="K89" s="10">
        <f>'PDB_woody perennials'!K187</f>
        <v>4.6517469513633086E-2</v>
      </c>
      <c r="L89" s="80">
        <f>'PDB_woody perennials'!G187</f>
        <v>219.4962548851006</v>
      </c>
      <c r="M89" s="10">
        <f>'PDB_woody perennials'!J187</f>
        <v>4120.0807575819408</v>
      </c>
      <c r="N89" s="10">
        <f t="shared" si="18"/>
        <v>168.98650283278675</v>
      </c>
      <c r="O89" s="10">
        <f>Assumptions!$E$16</f>
        <v>0.5</v>
      </c>
      <c r="P89" s="10">
        <f t="shared" si="19"/>
        <v>14.411511571855987</v>
      </c>
      <c r="Q89" s="10">
        <f t="shared" si="28"/>
        <v>14.411511571855987</v>
      </c>
      <c r="R89" s="10">
        <f>'PDB_woody perennials'!K290</f>
        <v>4.9122630866399744E-2</v>
      </c>
      <c r="S89" s="80">
        <f>'PDB_woody perennials'!G290</f>
        <v>223.51960782596802</v>
      </c>
      <c r="T89" s="10">
        <f>'PDB_woody perennials'!J290</f>
        <v>4376.1841542182192</v>
      </c>
      <c r="U89" s="10">
        <f t="shared" si="20"/>
        <v>256.10339663627838</v>
      </c>
      <c r="V89" s="10">
        <f>Assumptions!$E$16</f>
        <v>0.5</v>
      </c>
      <c r="W89" s="10">
        <f t="shared" si="21"/>
        <v>23.064199797090954</v>
      </c>
      <c r="X89" s="10">
        <f t="shared" si="29"/>
        <v>23.064199797090954</v>
      </c>
      <c r="Y89" s="10">
        <f>'PDB_woody perennials'!K393</f>
        <v>5.1873691507001912E-2</v>
      </c>
      <c r="Z89" s="80">
        <f>'PDB_woody perennials'!G393</f>
        <v>227.61670858041549</v>
      </c>
      <c r="AA89" s="10">
        <f>'PDB_woody perennials'!J393</f>
        <v>4648.2068868160322</v>
      </c>
      <c r="AB89" s="10">
        <f t="shared" si="22"/>
        <v>272.02273259781305</v>
      </c>
      <c r="AC89" s="10">
        <f>Assumptions!$E$16</f>
        <v>0.5</v>
      </c>
      <c r="AD89" s="10">
        <f t="shared" si="23"/>
        <v>25.869842741729485</v>
      </c>
      <c r="AE89" s="10">
        <f t="shared" si="30"/>
        <v>25.869842741729485</v>
      </c>
      <c r="AF89" s="10">
        <f>'PDB_woody perennials'!K496</f>
        <v>5.4778822369715235E-2</v>
      </c>
      <c r="AG89" s="80">
        <f>'PDB_woody perennials'!G496</f>
        <v>231.78890894135998</v>
      </c>
      <c r="AH89" s="10">
        <f>'PDB_woody perennials'!J496</f>
        <v>4937.1384981178307</v>
      </c>
      <c r="AI89" s="10">
        <f t="shared" si="24"/>
        <v>288.93161130179851</v>
      </c>
      <c r="AJ89" s="10">
        <f>Assumptions!$E$16</f>
        <v>0.5</v>
      </c>
      <c r="AK89" s="10">
        <f t="shared" si="25"/>
        <v>29.016777922910848</v>
      </c>
      <c r="AL89" s="10">
        <f t="shared" si="26"/>
        <v>29.016777922910848</v>
      </c>
      <c r="AM89">
        <f t="shared" si="27"/>
        <v>23.09058300839682</v>
      </c>
    </row>
    <row r="90" spans="1:39" x14ac:dyDescent="0.2">
      <c r="A90" s="516"/>
      <c r="B90" s="516"/>
      <c r="C90" s="516"/>
      <c r="D90" s="516"/>
      <c r="E90" s="518"/>
      <c r="F90" s="56" t="s">
        <v>314</v>
      </c>
      <c r="G90" s="10">
        <f>'PDB_woody perennials'!K84</f>
        <v>9.5443685596063327E-3</v>
      </c>
      <c r="H90" s="80">
        <f>'PDB_woody perennials'!G84</f>
        <v>133.93661473088838</v>
      </c>
      <c r="I90" s="10">
        <f>'PDB_woody perennials'!J84</f>
        <v>710.07181604800155</v>
      </c>
      <c r="J90" s="10">
        <f>Assumptions!$E$16</f>
        <v>0.5</v>
      </c>
      <c r="K90" s="10">
        <f>'PDB_woody perennials'!K188</f>
        <v>9.8722698319043938E-3</v>
      </c>
      <c r="L90" s="80">
        <f>'PDB_woody perennials'!G188</f>
        <v>131.69775293106036</v>
      </c>
      <c r="M90" s="10">
        <f>'PDB_woody perennials'!J188</f>
        <v>740.44126441280685</v>
      </c>
      <c r="N90" s="10">
        <f t="shared" si="18"/>
        <v>30.369448364805294</v>
      </c>
      <c r="O90" s="10">
        <f>Assumptions!$E$16</f>
        <v>0.5</v>
      </c>
      <c r="P90" s="10">
        <f t="shared" si="19"/>
        <v>0.54966154632298336</v>
      </c>
      <c r="Q90" s="10">
        <f t="shared" si="28"/>
        <v>0.54966154632298336</v>
      </c>
      <c r="R90" s="10">
        <f>'PDB_woody perennials'!K291</f>
        <v>1.0425155792793215E-2</v>
      </c>
      <c r="S90" s="80">
        <f>'PDB_woody perennials'!G291</f>
        <v>134.11176469558083</v>
      </c>
      <c r="T90" s="10">
        <f>'PDB_woody perennials'!J291</f>
        <v>786.46694545724017</v>
      </c>
      <c r="U90" s="10">
        <f t="shared" si="20"/>
        <v>46.025681044433327</v>
      </c>
      <c r="V90" s="10">
        <f>Assumptions!$E$16</f>
        <v>0.5</v>
      </c>
      <c r="W90" s="10">
        <f t="shared" si="21"/>
        <v>0.87967897482231605</v>
      </c>
      <c r="X90" s="10">
        <f t="shared" si="29"/>
        <v>0.87967897482231605</v>
      </c>
      <c r="Y90" s="10">
        <f>'PDB_woody perennials'!K394</f>
        <v>1.1009005543261622E-2</v>
      </c>
      <c r="Z90" s="80">
        <f>'PDB_woody perennials'!G394</f>
        <v>136.57002514824933</v>
      </c>
      <c r="AA90" s="10">
        <f>'PDB_woody perennials'!J394</f>
        <v>835.35357363876358</v>
      </c>
      <c r="AB90" s="10">
        <f t="shared" si="22"/>
        <v>48.886628181523406</v>
      </c>
      <c r="AC90" s="10">
        <f>Assumptions!$E$16</f>
        <v>0.5</v>
      </c>
      <c r="AD90" s="10">
        <f t="shared" si="23"/>
        <v>0.98668746117656181</v>
      </c>
      <c r="AE90" s="10">
        <f t="shared" si="30"/>
        <v>0.98668746117656181</v>
      </c>
      <c r="AF90" s="10">
        <f>'PDB_woody perennials'!K497</f>
        <v>1.162555317737774E-2</v>
      </c>
      <c r="AG90" s="80">
        <f>'PDB_woody perennials'!G497</f>
        <v>139.07334536481602</v>
      </c>
      <c r="AH90" s="10">
        <f>'PDB_woody perennials'!J497</f>
        <v>887.27898485975459</v>
      </c>
      <c r="AI90" s="10">
        <f t="shared" si="24"/>
        <v>51.925411220991009</v>
      </c>
      <c r="AJ90" s="10">
        <f>Assumptions!$E$16</f>
        <v>0.5</v>
      </c>
      <c r="AK90" s="10">
        <f t="shared" si="25"/>
        <v>1.1067129872458692</v>
      </c>
      <c r="AL90" s="10">
        <f t="shared" si="26"/>
        <v>1.1067129872458692</v>
      </c>
      <c r="AM90">
        <f t="shared" si="27"/>
        <v>0.88068524239193269</v>
      </c>
    </row>
    <row r="91" spans="1:39" x14ac:dyDescent="0.2">
      <c r="A91" s="516"/>
      <c r="B91" s="516"/>
      <c r="C91" s="516"/>
      <c r="D91" s="516"/>
      <c r="E91" s="518"/>
      <c r="F91" s="56" t="s">
        <v>315</v>
      </c>
      <c r="G91" s="10">
        <f>'PDB_woody perennials'!K85</f>
        <v>0.5473509873270449</v>
      </c>
      <c r="H91" s="80">
        <f>'PDB_woody perennials'!G85</f>
        <v>982.20184135984834</v>
      </c>
      <c r="I91" s="10">
        <f>'PDB_woody perennials'!J85</f>
        <v>56589.485313242272</v>
      </c>
      <c r="J91" s="10">
        <f>Assumptions!$E$16</f>
        <v>0.5</v>
      </c>
      <c r="K91" s="10">
        <f>'PDB_woody perennials'!K189</f>
        <v>0.56615548801425841</v>
      </c>
      <c r="L91" s="80">
        <f>'PDB_woody perennials'!G189</f>
        <v>965.78352149444277</v>
      </c>
      <c r="M91" s="10">
        <f>'PDB_woody perennials'!J189</f>
        <v>59009.791841920531</v>
      </c>
      <c r="N91" s="10">
        <f t="shared" si="18"/>
        <v>2420.3065286782585</v>
      </c>
      <c r="O91" s="10">
        <f>Assumptions!$E$16</f>
        <v>0.5</v>
      </c>
      <c r="P91" s="10">
        <f t="shared" si="19"/>
        <v>2512.161343794548</v>
      </c>
      <c r="Q91" s="10">
        <f t="shared" si="28"/>
        <v>2512.161343794548</v>
      </c>
      <c r="R91" s="10">
        <f>'PDB_woody perennials'!K292</f>
        <v>0.5978624233323806</v>
      </c>
      <c r="S91" s="80">
        <f>'PDB_woody perennials'!G292</f>
        <v>983.48627443425949</v>
      </c>
      <c r="T91" s="10">
        <f>'PDB_woody perennials'!J292</f>
        <v>62677.828711757189</v>
      </c>
      <c r="U91" s="10">
        <f t="shared" si="20"/>
        <v>3668.0368698366583</v>
      </c>
      <c r="V91" s="10">
        <f>Assumptions!$E$16</f>
        <v>0.5</v>
      </c>
      <c r="W91" s="10">
        <f t="shared" si="21"/>
        <v>4020.4659217672852</v>
      </c>
      <c r="X91" s="10">
        <f t="shared" si="29"/>
        <v>4020.4659217672852</v>
      </c>
      <c r="Y91" s="10">
        <f>'PDB_woody perennials'!K395</f>
        <v>0.63134507180448785</v>
      </c>
      <c r="Z91" s="80">
        <f>'PDB_woody perennials'!G395</f>
        <v>1001.5135177538284</v>
      </c>
      <c r="AA91" s="10">
        <f>'PDB_woody perennials'!J395</f>
        <v>66573.870020493268</v>
      </c>
      <c r="AB91" s="10">
        <f t="shared" si="22"/>
        <v>3896.0413087360794</v>
      </c>
      <c r="AC91" s="10">
        <f>Assumptions!$E$16</f>
        <v>0.5</v>
      </c>
      <c r="AD91" s="10">
        <f t="shared" si="23"/>
        <v>4509.5352129982566</v>
      </c>
      <c r="AE91" s="10">
        <f t="shared" si="30"/>
        <v>4509.5352129982566</v>
      </c>
      <c r="AF91" s="10">
        <f>'PDB_woody perennials'!K498</f>
        <v>0.66670288035515946</v>
      </c>
      <c r="AG91" s="80">
        <f>'PDB_woody perennials'!G498</f>
        <v>1019.8711993419842</v>
      </c>
      <c r="AH91" s="10">
        <f>'PDB_woody perennials'!J498</f>
        <v>70712.088478491714</v>
      </c>
      <c r="AI91" s="10">
        <f t="shared" si="24"/>
        <v>4138.218457998446</v>
      </c>
      <c r="AJ91" s="10">
        <f>Assumptions!$E$16</f>
        <v>0.5</v>
      </c>
      <c r="AK91" s="10">
        <f t="shared" si="25"/>
        <v>5058.0973033918262</v>
      </c>
      <c r="AL91" s="10">
        <f t="shared" si="26"/>
        <v>5058.0973033918262</v>
      </c>
      <c r="AM91">
        <f t="shared" si="27"/>
        <v>4025.0649454879795</v>
      </c>
    </row>
    <row r="92" spans="1:39" x14ac:dyDescent="0.2">
      <c r="A92" s="516"/>
      <c r="B92" s="516"/>
      <c r="C92" s="516"/>
      <c r="D92" s="516"/>
      <c r="E92" s="518"/>
      <c r="F92" s="56" t="s">
        <v>316</v>
      </c>
      <c r="G92" s="10">
        <f>'PDB_woody perennials'!K86</f>
        <v>0.11971882666068456</v>
      </c>
      <c r="H92" s="80">
        <f>'PDB_woody perennials'!G86</f>
        <v>223.2276912181473</v>
      </c>
      <c r="I92" s="10">
        <f>'PDB_woody perennials'!J86</f>
        <v>12301.785935009757</v>
      </c>
      <c r="J92" s="10">
        <f>Assumptions!$E$16</f>
        <v>0.5</v>
      </c>
      <c r="K92" s="10">
        <f>'PDB_woody perennials'!K190</f>
        <v>0.12383182327590415</v>
      </c>
      <c r="L92" s="80">
        <f>'PDB_woody perennials'!G190</f>
        <v>219.4962548851006</v>
      </c>
      <c r="M92" s="10">
        <f>'PDB_woody perennials'!J190</f>
        <v>12827.927719973815</v>
      </c>
      <c r="N92" s="10">
        <f t="shared" si="18"/>
        <v>526.14178496405839</v>
      </c>
      <c r="O92" s="10">
        <f>Assumptions!$E$16</f>
        <v>0.5</v>
      </c>
      <c r="P92" s="10">
        <f t="shared" si="19"/>
        <v>119.44734364518642</v>
      </c>
      <c r="Q92" s="10">
        <f t="shared" si="28"/>
        <v>119.44734364518642</v>
      </c>
      <c r="R92" s="10">
        <f>'PDB_woody perennials'!K293</f>
        <v>0.13076689269421099</v>
      </c>
      <c r="S92" s="80">
        <f>'PDB_woody perennials'!G293</f>
        <v>223.51960782596802</v>
      </c>
      <c r="T92" s="10">
        <f>'PDB_woody perennials'!J293</f>
        <v>13625.309143831626</v>
      </c>
      <c r="U92" s="10">
        <f t="shared" si="20"/>
        <v>797.38142385781066</v>
      </c>
      <c r="V92" s="10">
        <f>Assumptions!$E$16</f>
        <v>0.5</v>
      </c>
      <c r="W92" s="10">
        <f t="shared" si="21"/>
        <v>191.16366699828109</v>
      </c>
      <c r="X92" s="10">
        <f t="shared" si="29"/>
        <v>191.16366699828109</v>
      </c>
      <c r="Y92" s="10">
        <f>'PDB_woody perennials'!K396</f>
        <v>0.13809035329149266</v>
      </c>
      <c r="Z92" s="80">
        <f>'PDB_woody perennials'!G396</f>
        <v>227.61670858041549</v>
      </c>
      <c r="AA92" s="10">
        <f>'PDB_woody perennials'!J396</f>
        <v>14472.255637667482</v>
      </c>
      <c r="AB92" s="10">
        <f t="shared" si="22"/>
        <v>846.94649383585602</v>
      </c>
      <c r="AC92" s="10">
        <f>Assumptions!$E$16</f>
        <v>0.5</v>
      </c>
      <c r="AD92" s="10">
        <f t="shared" si="23"/>
        <v>214.4177576801047</v>
      </c>
      <c r="AE92" s="10">
        <f t="shared" si="30"/>
        <v>214.4177576801047</v>
      </c>
      <c r="AF92" s="10">
        <f>'PDB_woody perennials'!K499</f>
        <v>0.14582395650220598</v>
      </c>
      <c r="AG92" s="80">
        <f>'PDB_woody perennials'!G499</f>
        <v>231.78890894135998</v>
      </c>
      <c r="AH92" s="10">
        <f>'PDB_woody perennials'!J499</f>
        <v>15371.848156327316</v>
      </c>
      <c r="AI92" s="10">
        <f t="shared" si="24"/>
        <v>899.59251865983424</v>
      </c>
      <c r="AJ92" s="10">
        <f>Assumptions!$E$16</f>
        <v>0.5</v>
      </c>
      <c r="AK92" s="10">
        <f t="shared" si="25"/>
        <v>240.50059056972955</v>
      </c>
      <c r="AL92" s="10">
        <f t="shared" si="26"/>
        <v>240.50059056972955</v>
      </c>
      <c r="AM92">
        <f t="shared" si="27"/>
        <v>191.38233972332543</v>
      </c>
    </row>
    <row r="93" spans="1:39" x14ac:dyDescent="0.2">
      <c r="A93" s="516"/>
      <c r="B93" s="516"/>
      <c r="C93" s="516"/>
      <c r="D93" s="516"/>
      <c r="E93" s="518"/>
      <c r="F93" s="56" t="s">
        <v>317</v>
      </c>
      <c r="G93" s="10">
        <f>'PDB_woody perennials'!K87</f>
        <v>0.11894769290727183</v>
      </c>
      <c r="H93" s="80">
        <f>'PDB_woody perennials'!G87</f>
        <v>223.2276912181473</v>
      </c>
      <c r="I93" s="10">
        <f>'PDB_woody perennials'!J87</f>
        <v>12209.916898227581</v>
      </c>
      <c r="J93" s="10">
        <f>Assumptions!$E$16</f>
        <v>0.5</v>
      </c>
      <c r="K93" s="10">
        <f>'PDB_woody perennials'!K191</f>
        <v>0.12303419685959006</v>
      </c>
      <c r="L93" s="80">
        <f>'PDB_woody perennials'!G191</f>
        <v>219.4962548851006</v>
      </c>
      <c r="M93" s="10">
        <f>'PDB_woody perennials'!J191</f>
        <v>12732.129486305033</v>
      </c>
      <c r="N93" s="10">
        <f t="shared" si="18"/>
        <v>522.21258807745289</v>
      </c>
      <c r="O93" s="10">
        <f>Assumptions!$E$16</f>
        <v>0.5</v>
      </c>
      <c r="P93" s="10">
        <f t="shared" si="19"/>
        <v>117.79167833414181</v>
      </c>
      <c r="Q93" s="10">
        <f t="shared" si="28"/>
        <v>117.79167833414181</v>
      </c>
      <c r="R93" s="10">
        <f>'PDB_woody perennials'!K294</f>
        <v>0.1299245960596874</v>
      </c>
      <c r="S93" s="80">
        <f>'PDB_woody perennials'!G294</f>
        <v>223.51960782596802</v>
      </c>
      <c r="T93" s="10">
        <f>'PDB_woody perennials'!J294</f>
        <v>13523.556111099919</v>
      </c>
      <c r="U93" s="10">
        <f t="shared" si="20"/>
        <v>791.42662479488536</v>
      </c>
      <c r="V93" s="10">
        <f>Assumptions!$E$16</f>
        <v>0.5</v>
      </c>
      <c r="W93" s="10">
        <f t="shared" si="21"/>
        <v>188.5139383184883</v>
      </c>
      <c r="X93" s="10">
        <f t="shared" si="29"/>
        <v>188.5139383184883</v>
      </c>
      <c r="Y93" s="10">
        <f>'PDB_woody perennials'!K397</f>
        <v>0.13720088473074932</v>
      </c>
      <c r="Z93" s="80">
        <f>'PDB_woody perennials'!G397</f>
        <v>227.61670858041549</v>
      </c>
      <c r="AA93" s="10">
        <f>'PDB_woody perennials'!J397</f>
        <v>14364.177656752956</v>
      </c>
      <c r="AB93" s="10">
        <f t="shared" si="22"/>
        <v>840.62154565303717</v>
      </c>
      <c r="AC93" s="10">
        <f>Assumptions!$E$16</f>
        <v>0.5</v>
      </c>
      <c r="AD93" s="10">
        <f t="shared" si="23"/>
        <v>211.44570294343225</v>
      </c>
      <c r="AE93" s="10">
        <f t="shared" si="30"/>
        <v>211.44570294343225</v>
      </c>
      <c r="AF93" s="10">
        <f>'PDB_woody perennials'!K500</f>
        <v>0.14488467420173909</v>
      </c>
      <c r="AG93" s="80">
        <f>'PDB_woody perennials'!G500</f>
        <v>231.78890894135998</v>
      </c>
      <c r="AH93" s="10">
        <f>'PDB_woody perennials'!J500</f>
        <v>15257.052069714771</v>
      </c>
      <c r="AI93" s="10">
        <f t="shared" si="24"/>
        <v>892.87441296181532</v>
      </c>
      <c r="AJ93" s="10">
        <f>Assumptions!$E$16</f>
        <v>0.5</v>
      </c>
      <c r="AK93" s="10">
        <f t="shared" si="25"/>
        <v>237.16700044590974</v>
      </c>
      <c r="AL93" s="10">
        <f t="shared" si="26"/>
        <v>237.16700044590974</v>
      </c>
      <c r="AM93">
        <f t="shared" si="27"/>
        <v>188.72958001049301</v>
      </c>
    </row>
    <row r="94" spans="1:39" x14ac:dyDescent="0.2">
      <c r="A94" s="516"/>
      <c r="B94" s="516"/>
      <c r="C94" s="516"/>
      <c r="D94" s="516"/>
      <c r="E94" s="518"/>
      <c r="F94" s="56" t="s">
        <v>172</v>
      </c>
      <c r="G94" s="10">
        <f>'PDB_woody perennials'!K88</f>
        <v>9.0782998038280244E-2</v>
      </c>
      <c r="H94" s="80">
        <f>'PDB_woody perennials'!G88</f>
        <v>491.10092067992417</v>
      </c>
      <c r="I94" s="10">
        <f>'PDB_woody perennials'!J88</f>
        <v>7866.7860102049908</v>
      </c>
      <c r="J94" s="10">
        <f>Assumptions!$E$16</f>
        <v>0.5</v>
      </c>
      <c r="K94" s="10">
        <f>'PDB_woody perennials'!K192</f>
        <v>9.3901890647453759E-2</v>
      </c>
      <c r="L94" s="80">
        <f>'PDB_woody perennials'!G192</f>
        <v>482.89176074722138</v>
      </c>
      <c r="M94" s="10">
        <f>'PDB_woody perennials'!J192</f>
        <v>8203.2448670901831</v>
      </c>
      <c r="N94" s="10">
        <f t="shared" si="18"/>
        <v>336.45885688519229</v>
      </c>
      <c r="O94" s="10">
        <f>Assumptions!$E$16</f>
        <v>0.5</v>
      </c>
      <c r="P94" s="10">
        <f t="shared" si="19"/>
        <v>57.922558442101142</v>
      </c>
      <c r="Q94" s="10">
        <f t="shared" si="28"/>
        <v>57.922558442101142</v>
      </c>
      <c r="R94" s="10">
        <f>'PDB_woody perennials'!K295</f>
        <v>9.9160766055428687E-2</v>
      </c>
      <c r="S94" s="80">
        <f>'PDB_woody perennials'!G295</f>
        <v>491.74313721712974</v>
      </c>
      <c r="T94" s="10">
        <f>'PDB_woody perennials'!J295</f>
        <v>8713.1569288949686</v>
      </c>
      <c r="U94" s="10">
        <f t="shared" si="20"/>
        <v>509.91206180478548</v>
      </c>
      <c r="V94" s="10">
        <f>Assumptions!$E$16</f>
        <v>0.5</v>
      </c>
      <c r="W94" s="10">
        <f t="shared" si="21"/>
        <v>92.699329560686976</v>
      </c>
      <c r="X94" s="10">
        <f t="shared" si="29"/>
        <v>92.699329560686976</v>
      </c>
      <c r="Y94" s="10">
        <f>'PDB_woody perennials'!K398</f>
        <v>0.1047141591814806</v>
      </c>
      <c r="Z94" s="80">
        <f>'PDB_woody perennials'!G398</f>
        <v>500.7567588769142</v>
      </c>
      <c r="AA94" s="10">
        <f>'PDB_woody perennials'!J398</f>
        <v>9254.7650225733305</v>
      </c>
      <c r="AB94" s="10">
        <f t="shared" si="22"/>
        <v>541.60809367836191</v>
      </c>
      <c r="AC94" s="10">
        <f>Assumptions!$E$16</f>
        <v>0.5</v>
      </c>
      <c r="AD94" s="10">
        <f t="shared" si="23"/>
        <v>103.9757329149261</v>
      </c>
      <c r="AE94" s="10">
        <f t="shared" si="30"/>
        <v>103.9757329149261</v>
      </c>
      <c r="AF94" s="10">
        <f>'PDB_woody perennials'!K501</f>
        <v>0.11057856417683615</v>
      </c>
      <c r="AG94" s="80">
        <f>'PDB_woody perennials'!G501</f>
        <v>509.93559967099208</v>
      </c>
      <c r="AH94" s="10">
        <f>'PDB_woody perennials'!J501</f>
        <v>9830.0393671331749</v>
      </c>
      <c r="AI94" s="10">
        <f t="shared" si="24"/>
        <v>575.27434455984439</v>
      </c>
      <c r="AJ94" s="10">
        <f>Assumptions!$E$16</f>
        <v>0.5</v>
      </c>
      <c r="AK94" s="10">
        <f t="shared" si="25"/>
        <v>116.62385355352986</v>
      </c>
      <c r="AL94" s="10">
        <f t="shared" si="26"/>
        <v>116.62385355352986</v>
      </c>
      <c r="AM94">
        <f t="shared" si="27"/>
        <v>92.805368617811013</v>
      </c>
    </row>
    <row r="95" spans="1:39" x14ac:dyDescent="0.2">
      <c r="A95" s="516"/>
      <c r="B95" s="516"/>
      <c r="C95" s="516"/>
      <c r="D95" s="516"/>
      <c r="E95" s="518"/>
      <c r="F95" s="56" t="s">
        <v>318</v>
      </c>
      <c r="G95" s="10">
        <f>'PDB_woody perennials'!K89</f>
        <v>7.560598949049889E-2</v>
      </c>
      <c r="H95" s="80">
        <f>'PDB_woody perennials'!G89</f>
        <v>468.7781515581093</v>
      </c>
      <c r="I95" s="10">
        <f>'PDB_woody perennials'!J89</f>
        <v>6410.1741454515895</v>
      </c>
      <c r="J95" s="10">
        <f>Assumptions!$E$16</f>
        <v>0.5</v>
      </c>
      <c r="K95" s="10">
        <f>'PDB_woody perennials'!K193</f>
        <v>7.8203468830537165E-2</v>
      </c>
      <c r="L95" s="80">
        <f>'PDB_woody perennials'!G193</f>
        <v>460.94213525871123</v>
      </c>
      <c r="M95" s="10">
        <f>'PDB_woody perennials'!J193</f>
        <v>6684.3343758958472</v>
      </c>
      <c r="N95" s="10">
        <f t="shared" si="18"/>
        <v>274.16023044425765</v>
      </c>
      <c r="O95" s="10">
        <f>Assumptions!$E$16</f>
        <v>0.5</v>
      </c>
      <c r="P95" s="10">
        <f t="shared" si="19"/>
        <v>39.307181899554045</v>
      </c>
      <c r="Q95" s="10">
        <f t="shared" si="28"/>
        <v>39.307181899554045</v>
      </c>
      <c r="R95" s="10">
        <f>'PDB_woody perennials'!K296</f>
        <v>8.258317083883103E-2</v>
      </c>
      <c r="S95" s="80">
        <f>'PDB_woody perennials'!G296</f>
        <v>469.39117643453284</v>
      </c>
      <c r="T95" s="10">
        <f>'PDB_woody perennials'!J296</f>
        <v>7099.8312650694979</v>
      </c>
      <c r="U95" s="10">
        <f t="shared" si="20"/>
        <v>415.49688917365074</v>
      </c>
      <c r="V95" s="10">
        <f>Assumptions!$E$16</f>
        <v>0.5</v>
      </c>
      <c r="W95" s="10">
        <f t="shared" si="21"/>
        <v>62.907259399655807</v>
      </c>
      <c r="X95" s="10">
        <f t="shared" si="29"/>
        <v>62.907259399655807</v>
      </c>
      <c r="Y95" s="10">
        <f>'PDB_woody perennials'!K399</f>
        <v>8.7208153395012325E-2</v>
      </c>
      <c r="Z95" s="80">
        <f>'PDB_woody perennials'!G399</f>
        <v>477.99508801887254</v>
      </c>
      <c r="AA95" s="10">
        <f>'PDB_woody perennials'!J399</f>
        <v>7541.1553578515604</v>
      </c>
      <c r="AB95" s="10">
        <f t="shared" si="22"/>
        <v>441.32409278206251</v>
      </c>
      <c r="AC95" s="10">
        <f>Assumptions!$E$16</f>
        <v>0.5</v>
      </c>
      <c r="AD95" s="10">
        <f t="shared" si="23"/>
        <v>70.559608497130057</v>
      </c>
      <c r="AE95" s="10">
        <f t="shared" si="30"/>
        <v>70.559608497130057</v>
      </c>
      <c r="AF95" s="10">
        <f>'PDB_woody perennials'!K502</f>
        <v>9.2092153175014305E-2</v>
      </c>
      <c r="AG95" s="80">
        <f>'PDB_woody perennials'!G502</f>
        <v>486.75670877685593</v>
      </c>
      <c r="AH95" s="10">
        <f>'PDB_woody perennials'!J502</f>
        <v>8009.9120680576652</v>
      </c>
      <c r="AI95" s="10">
        <f t="shared" si="24"/>
        <v>468.7567102061048</v>
      </c>
      <c r="AJ95" s="10">
        <f>Assumptions!$E$16</f>
        <v>0.5</v>
      </c>
      <c r="AK95" s="10">
        <f t="shared" si="25"/>
        <v>79.142827056546722</v>
      </c>
      <c r="AL95" s="10">
        <f t="shared" si="26"/>
        <v>79.142827056546722</v>
      </c>
      <c r="AM95">
        <f t="shared" si="27"/>
        <v>62.979219213221654</v>
      </c>
    </row>
    <row r="96" spans="1:39" x14ac:dyDescent="0.2">
      <c r="A96" s="516"/>
      <c r="B96" s="516"/>
      <c r="C96" s="516"/>
      <c r="D96" s="516"/>
      <c r="E96" s="518"/>
      <c r="F96" s="56" t="s">
        <v>319</v>
      </c>
      <c r="G96" s="10">
        <f>'PDB_woody perennials'!K90</f>
        <v>8.7901773248469317E-2</v>
      </c>
      <c r="H96" s="80">
        <f>'PDB_woody perennials'!G90</f>
        <v>200.90492209633257</v>
      </c>
      <c r="I96" s="10">
        <f>'PDB_woody perennials'!J90</f>
        <v>8742.9536897700564</v>
      </c>
      <c r="J96" s="10">
        <f>Assumptions!$E$16</f>
        <v>0.5</v>
      </c>
      <c r="K96" s="10">
        <f>'PDB_woody perennials'!K194</f>
        <v>9.0921680024430782E-2</v>
      </c>
      <c r="L96" s="80">
        <f>'PDB_woody perennials'!G194</f>
        <v>197.54662939659053</v>
      </c>
      <c r="M96" s="10">
        <f>'PDB_woody perennials'!J194</f>
        <v>9116.8858394998151</v>
      </c>
      <c r="N96" s="10">
        <f t="shared" si="18"/>
        <v>373.93214972975875</v>
      </c>
      <c r="O96" s="10">
        <f>Assumptions!$E$16</f>
        <v>0.5</v>
      </c>
      <c r="P96" s="10">
        <f t="shared" si="19"/>
        <v>62.330655325723882</v>
      </c>
      <c r="Q96" s="10">
        <f t="shared" si="28"/>
        <v>62.330655325723882</v>
      </c>
      <c r="R96" s="10">
        <f>'PDB_woody perennials'!K297</f>
        <v>9.601365190950599E-2</v>
      </c>
      <c r="S96" s="80">
        <f>'PDB_woody perennials'!G297</f>
        <v>201.1676470433712</v>
      </c>
      <c r="T96" s="10">
        <f>'PDB_woody perennials'!J297</f>
        <v>9683.5896415901734</v>
      </c>
      <c r="U96" s="10">
        <f t="shared" si="20"/>
        <v>566.70380209035829</v>
      </c>
      <c r="V96" s="10">
        <f>Assumptions!$E$16</f>
        <v>0.5</v>
      </c>
      <c r="W96" s="10">
        <f t="shared" si="21"/>
        <v>99.754052914444927</v>
      </c>
      <c r="X96" s="10">
        <f t="shared" si="29"/>
        <v>99.754052914444927</v>
      </c>
      <c r="Y96" s="10">
        <f>'PDB_woody perennials'!K400</f>
        <v>0.10139079425856111</v>
      </c>
      <c r="Z96" s="80">
        <f>'PDB_woody perennials'!G400</f>
        <v>204.85503772237394</v>
      </c>
      <c r="AA96" s="10">
        <f>'PDB_woody perennials'!J400</f>
        <v>10285.519638782398</v>
      </c>
      <c r="AB96" s="10">
        <f t="shared" si="22"/>
        <v>601.92999719222462</v>
      </c>
      <c r="AC96" s="10">
        <f>Assumptions!$E$16</f>
        <v>0.5</v>
      </c>
      <c r="AD96" s="10">
        <f t="shared" si="23"/>
        <v>111.88862758951738</v>
      </c>
      <c r="AE96" s="10">
        <f t="shared" si="30"/>
        <v>111.88862758951738</v>
      </c>
      <c r="AF96" s="10">
        <f>'PDB_woody perennials'!K503</f>
        <v>0.10706907773980905</v>
      </c>
      <c r="AG96" s="80">
        <f>'PDB_woody perennials'!G503</f>
        <v>208.61001804722397</v>
      </c>
      <c r="AH96" s="10">
        <f>'PDB_woody perennials'!J503</f>
        <v>10924.865484325293</v>
      </c>
      <c r="AI96" s="10">
        <f t="shared" si="24"/>
        <v>639.3458455428954</v>
      </c>
      <c r="AJ96" s="10">
        <f>Assumptions!$E$16</f>
        <v>0.5</v>
      </c>
      <c r="AK96" s="10">
        <f t="shared" si="25"/>
        <v>125.49931173826972</v>
      </c>
      <c r="AL96" s="10">
        <f t="shared" si="26"/>
        <v>125.49931173826972</v>
      </c>
      <c r="AM96">
        <f t="shared" si="27"/>
        <v>99.86816189198899</v>
      </c>
    </row>
    <row r="97" spans="1:39" x14ac:dyDescent="0.2">
      <c r="A97" s="516"/>
      <c r="B97" s="516"/>
      <c r="C97" s="516"/>
      <c r="D97" s="516"/>
      <c r="E97" s="518"/>
      <c r="F97" s="56" t="s">
        <v>320</v>
      </c>
      <c r="G97" s="10">
        <f>'PDB_woody perennials'!K91</f>
        <v>2.3943765332136911E-2</v>
      </c>
      <c r="H97" s="80">
        <f>'PDB_woody perennials'!G91</f>
        <v>44.64553824362946</v>
      </c>
      <c r="I97" s="10">
        <f>'PDB_woody perennials'!J91</f>
        <v>2460.3571870019514</v>
      </c>
      <c r="J97" s="10">
        <f>Assumptions!$E$16</f>
        <v>0.5</v>
      </c>
      <c r="K97" s="10">
        <f>'PDB_woody perennials'!K195</f>
        <v>2.4766364655180829E-2</v>
      </c>
      <c r="L97" s="80">
        <f>'PDB_woody perennials'!G195</f>
        <v>43.899250977020117</v>
      </c>
      <c r="M97" s="10">
        <f>'PDB_woody perennials'!J195</f>
        <v>2565.5855439947632</v>
      </c>
      <c r="N97" s="10">
        <f t="shared" si="18"/>
        <v>105.22835699281177</v>
      </c>
      <c r="O97" s="10">
        <f>Assumptions!$E$16</f>
        <v>0.5</v>
      </c>
      <c r="P97" s="10">
        <f t="shared" si="19"/>
        <v>4.77789374580746</v>
      </c>
      <c r="Q97" s="10">
        <f t="shared" si="28"/>
        <v>4.77789374580746</v>
      </c>
      <c r="R97" s="10">
        <f>'PDB_woody perennials'!K298</f>
        <v>2.6153378538842195E-2</v>
      </c>
      <c r="S97" s="80">
        <f>'PDB_woody perennials'!G298</f>
        <v>44.703921565193603</v>
      </c>
      <c r="T97" s="10">
        <f>'PDB_woody perennials'!J298</f>
        <v>2725.0618287663251</v>
      </c>
      <c r="U97" s="10">
        <f t="shared" si="20"/>
        <v>159.47628477156195</v>
      </c>
      <c r="V97" s="10">
        <f>Assumptions!$E$16</f>
        <v>0.5</v>
      </c>
      <c r="W97" s="10">
        <f t="shared" si="21"/>
        <v>7.6465466799312338</v>
      </c>
      <c r="X97" s="10">
        <f t="shared" si="29"/>
        <v>7.6465466799312338</v>
      </c>
      <c r="Y97" s="10">
        <f>'PDB_woody perennials'!K401</f>
        <v>2.7618070658298535E-2</v>
      </c>
      <c r="Z97" s="80">
        <f>'PDB_woody perennials'!G401</f>
        <v>45.523341716083102</v>
      </c>
      <c r="AA97" s="10">
        <f>'PDB_woody perennials'!J401</f>
        <v>2894.4511275334967</v>
      </c>
      <c r="AB97" s="10">
        <f t="shared" si="22"/>
        <v>169.38929876717157</v>
      </c>
      <c r="AC97" s="10">
        <f>Assumptions!$E$16</f>
        <v>0.5</v>
      </c>
      <c r="AD97" s="10">
        <f t="shared" si="23"/>
        <v>8.5767103072042072</v>
      </c>
      <c r="AE97" s="10">
        <f t="shared" si="30"/>
        <v>8.5767103072042072</v>
      </c>
      <c r="AF97" s="10">
        <f>'PDB_woody perennials'!K504</f>
        <v>2.9164791300441195E-2</v>
      </c>
      <c r="AG97" s="80">
        <f>'PDB_woody perennials'!G504</f>
        <v>46.357781788272</v>
      </c>
      <c r="AH97" s="10">
        <f>'PDB_woody perennials'!J504</f>
        <v>3074.3696312654633</v>
      </c>
      <c r="AI97" s="10">
        <f t="shared" si="24"/>
        <v>179.91850373196667</v>
      </c>
      <c r="AJ97" s="10">
        <f>Assumptions!$E$16</f>
        <v>0.5</v>
      </c>
      <c r="AK97" s="10">
        <f t="shared" si="25"/>
        <v>9.6200236227891729</v>
      </c>
      <c r="AL97" s="10">
        <f t="shared" si="26"/>
        <v>9.6200236227891729</v>
      </c>
      <c r="AM97">
        <f t="shared" si="27"/>
        <v>7.6552935889330191</v>
      </c>
    </row>
    <row r="98" spans="1:39" ht="28" x14ac:dyDescent="0.2">
      <c r="A98" s="74" t="s">
        <v>27</v>
      </c>
      <c r="B98" s="74"/>
      <c r="C98" s="74"/>
      <c r="D98" s="74" t="s">
        <v>37</v>
      </c>
      <c r="E98" s="485">
        <f>Assumptions!D79</f>
        <v>7884.7310000000007</v>
      </c>
      <c r="F98" s="56" t="s">
        <v>323</v>
      </c>
      <c r="G98" s="10">
        <f>'PDB_woody perennials'!K92</f>
        <v>0</v>
      </c>
      <c r="H98" s="80">
        <f>'PDB_woody perennials'!G92</f>
        <v>0</v>
      </c>
      <c r="I98" s="10">
        <f>'PDB_woody perennials'!J92</f>
        <v>0</v>
      </c>
      <c r="J98" s="10">
        <f>Assumptions!$E$16</f>
        <v>0.5</v>
      </c>
      <c r="K98" s="10">
        <f>'PDB_woody perennials'!K196</f>
        <v>0</v>
      </c>
      <c r="L98" s="80">
        <f>'PDB_woody perennials'!G196</f>
        <v>0</v>
      </c>
      <c r="M98" s="10">
        <f>'PDB_woody perennials'!J196</f>
        <v>0</v>
      </c>
      <c r="N98" s="10">
        <f t="shared" si="18"/>
        <v>0</v>
      </c>
      <c r="O98" s="10">
        <f>Assumptions!$E$16</f>
        <v>0.5</v>
      </c>
      <c r="P98" s="10">
        <f t="shared" si="19"/>
        <v>0</v>
      </c>
      <c r="Q98" s="10">
        <f t="shared" si="28"/>
        <v>0</v>
      </c>
      <c r="R98" s="10">
        <f>'PDB_woody perennials'!K299</f>
        <v>0</v>
      </c>
      <c r="S98" s="80">
        <f>'PDB_woody perennials'!G299</f>
        <v>0</v>
      </c>
      <c r="T98" s="10">
        <f>'PDB_woody perennials'!J299</f>
        <v>0</v>
      </c>
      <c r="U98" s="10">
        <f t="shared" si="20"/>
        <v>0</v>
      </c>
      <c r="V98" s="10">
        <f>Assumptions!$E$16</f>
        <v>0.5</v>
      </c>
      <c r="W98" s="10">
        <f t="shared" si="21"/>
        <v>0</v>
      </c>
      <c r="X98" s="10">
        <f t="shared" si="29"/>
        <v>0</v>
      </c>
      <c r="Y98" s="10">
        <f>'PDB_woody perennials'!K402</f>
        <v>0</v>
      </c>
      <c r="Z98" s="80">
        <f>'PDB_woody perennials'!G402</f>
        <v>0</v>
      </c>
      <c r="AA98" s="10">
        <f>'PDB_woody perennials'!J402</f>
        <v>0</v>
      </c>
      <c r="AB98" s="10">
        <f t="shared" si="22"/>
        <v>0</v>
      </c>
      <c r="AC98" s="10">
        <f>Assumptions!$E$16</f>
        <v>0.5</v>
      </c>
      <c r="AD98" s="10">
        <f t="shared" si="23"/>
        <v>0</v>
      </c>
      <c r="AE98" s="10">
        <f t="shared" si="30"/>
        <v>0</v>
      </c>
      <c r="AF98" s="10">
        <f>'PDB_woody perennials'!K505</f>
        <v>0</v>
      </c>
      <c r="AG98" s="80">
        <f>'PDB_woody perennials'!G505</f>
        <v>0</v>
      </c>
      <c r="AH98" s="10">
        <f>'PDB_woody perennials'!J505</f>
        <v>0</v>
      </c>
      <c r="AI98" s="10">
        <f t="shared" si="24"/>
        <v>0</v>
      </c>
      <c r="AJ98" s="10">
        <f>Assumptions!$E$16</f>
        <v>0.5</v>
      </c>
      <c r="AK98" s="10">
        <f t="shared" si="25"/>
        <v>0</v>
      </c>
      <c r="AL98" s="10">
        <f t="shared" si="26"/>
        <v>0</v>
      </c>
      <c r="AM98">
        <f t="shared" si="27"/>
        <v>0</v>
      </c>
    </row>
    <row r="99" spans="1:39" x14ac:dyDescent="0.2">
      <c r="A99" s="74" t="s">
        <v>28</v>
      </c>
      <c r="B99" s="74"/>
      <c r="C99" s="74"/>
      <c r="D99" s="74" t="s">
        <v>36</v>
      </c>
      <c r="E99" s="485">
        <f>Assumptions!D80</f>
        <v>2195.1750000000002</v>
      </c>
      <c r="F99" s="56" t="s">
        <v>323</v>
      </c>
      <c r="G99" s="10">
        <f>'PDB_woody perennials'!K93</f>
        <v>0</v>
      </c>
      <c r="H99" s="80">
        <f>'PDB_woody perennials'!G93</f>
        <v>0</v>
      </c>
      <c r="I99" s="10">
        <f>'PDB_woody perennials'!J93</f>
        <v>0</v>
      </c>
      <c r="J99" s="10">
        <f>Assumptions!$E$16</f>
        <v>0.5</v>
      </c>
      <c r="K99" s="10">
        <f>'PDB_woody perennials'!K197</f>
        <v>0</v>
      </c>
      <c r="L99" s="80">
        <f>'PDB_woody perennials'!G197</f>
        <v>0</v>
      </c>
      <c r="M99" s="10">
        <f>'PDB_woody perennials'!J197</f>
        <v>0</v>
      </c>
      <c r="N99" s="10">
        <f t="shared" si="18"/>
        <v>0</v>
      </c>
      <c r="O99" s="10">
        <f>Assumptions!$E$16</f>
        <v>0.5</v>
      </c>
      <c r="P99" s="10">
        <f t="shared" si="19"/>
        <v>0</v>
      </c>
      <c r="Q99" s="10">
        <f t="shared" si="28"/>
        <v>0</v>
      </c>
      <c r="R99" s="10">
        <f>'PDB_woody perennials'!K300</f>
        <v>0</v>
      </c>
      <c r="S99" s="80">
        <f>'PDB_woody perennials'!G300</f>
        <v>0</v>
      </c>
      <c r="T99" s="10">
        <f>'PDB_woody perennials'!J300</f>
        <v>0</v>
      </c>
      <c r="U99" s="10">
        <f t="shared" si="20"/>
        <v>0</v>
      </c>
      <c r="V99" s="10">
        <f>Assumptions!$E$16</f>
        <v>0.5</v>
      </c>
      <c r="W99" s="10">
        <f t="shared" si="21"/>
        <v>0</v>
      </c>
      <c r="X99" s="10">
        <f t="shared" si="29"/>
        <v>0</v>
      </c>
      <c r="Y99" s="10">
        <f>'PDB_woody perennials'!K403</f>
        <v>0</v>
      </c>
      <c r="Z99" s="80">
        <f>'PDB_woody perennials'!G403</f>
        <v>0</v>
      </c>
      <c r="AA99" s="10">
        <f>'PDB_woody perennials'!J403</f>
        <v>0</v>
      </c>
      <c r="AB99" s="10">
        <f t="shared" si="22"/>
        <v>0</v>
      </c>
      <c r="AC99" s="10">
        <f>Assumptions!$E$16</f>
        <v>0.5</v>
      </c>
      <c r="AD99" s="10">
        <f t="shared" si="23"/>
        <v>0</v>
      </c>
      <c r="AE99" s="10">
        <f t="shared" si="30"/>
        <v>0</v>
      </c>
      <c r="AF99" s="10">
        <f>'PDB_woody perennials'!K506</f>
        <v>0</v>
      </c>
      <c r="AG99" s="80">
        <f>'PDB_woody perennials'!G506</f>
        <v>0</v>
      </c>
      <c r="AH99" s="10">
        <f>'PDB_woody perennials'!J506</f>
        <v>0</v>
      </c>
      <c r="AI99" s="10">
        <f t="shared" si="24"/>
        <v>0</v>
      </c>
      <c r="AJ99" s="10">
        <f>Assumptions!$E$16</f>
        <v>0.5</v>
      </c>
      <c r="AK99" s="10">
        <f t="shared" si="25"/>
        <v>0</v>
      </c>
      <c r="AL99" s="10">
        <f t="shared" si="26"/>
        <v>0</v>
      </c>
      <c r="AM99">
        <f t="shared" si="27"/>
        <v>0</v>
      </c>
    </row>
    <row r="100" spans="1:39" ht="28" x14ac:dyDescent="0.2">
      <c r="A100" s="74" t="s">
        <v>29</v>
      </c>
      <c r="B100" s="74"/>
      <c r="C100" s="74"/>
      <c r="D100" s="74" t="s">
        <v>37</v>
      </c>
      <c r="E100" s="485">
        <f>Assumptions!D81</f>
        <v>454.25200000000001</v>
      </c>
      <c r="F100" s="56" t="s">
        <v>323</v>
      </c>
      <c r="G100" s="10">
        <f>'PDB_woody perennials'!K94</f>
        <v>0</v>
      </c>
      <c r="H100" s="80">
        <f>'PDB_woody perennials'!G94</f>
        <v>0</v>
      </c>
      <c r="I100" s="10">
        <f>'PDB_woody perennials'!J94</f>
        <v>0</v>
      </c>
      <c r="J100" s="10">
        <f>Assumptions!$E$16</f>
        <v>0.5</v>
      </c>
      <c r="K100" s="10">
        <f>'PDB_woody perennials'!K198</f>
        <v>0</v>
      </c>
      <c r="L100" s="80">
        <f>'PDB_woody perennials'!G198</f>
        <v>0</v>
      </c>
      <c r="M100" s="10">
        <f>'PDB_woody perennials'!J198</f>
        <v>0</v>
      </c>
      <c r="N100" s="10">
        <f t="shared" si="18"/>
        <v>0</v>
      </c>
      <c r="O100" s="10">
        <f>Assumptions!$E$16</f>
        <v>0.5</v>
      </c>
      <c r="P100" s="10">
        <f t="shared" si="19"/>
        <v>0</v>
      </c>
      <c r="Q100" s="10">
        <f t="shared" si="28"/>
        <v>0</v>
      </c>
      <c r="R100" s="10">
        <f>'PDB_woody perennials'!K301</f>
        <v>0</v>
      </c>
      <c r="S100" s="80">
        <f>'PDB_woody perennials'!G301</f>
        <v>0</v>
      </c>
      <c r="T100" s="10">
        <f>'PDB_woody perennials'!J301</f>
        <v>0</v>
      </c>
      <c r="U100" s="10">
        <f t="shared" si="20"/>
        <v>0</v>
      </c>
      <c r="V100" s="10">
        <f>Assumptions!$E$16</f>
        <v>0.5</v>
      </c>
      <c r="W100" s="10">
        <f t="shared" si="21"/>
        <v>0</v>
      </c>
      <c r="X100" s="10">
        <f t="shared" si="29"/>
        <v>0</v>
      </c>
      <c r="Y100" s="10">
        <f>'PDB_woody perennials'!K404</f>
        <v>0</v>
      </c>
      <c r="Z100" s="80">
        <f>'PDB_woody perennials'!G404</f>
        <v>0</v>
      </c>
      <c r="AA100" s="10">
        <f>'PDB_woody perennials'!J404</f>
        <v>0</v>
      </c>
      <c r="AB100" s="10">
        <f t="shared" si="22"/>
        <v>0</v>
      </c>
      <c r="AC100" s="10">
        <f>Assumptions!$E$16</f>
        <v>0.5</v>
      </c>
      <c r="AD100" s="10">
        <f t="shared" si="23"/>
        <v>0</v>
      </c>
      <c r="AE100" s="10">
        <f t="shared" si="30"/>
        <v>0</v>
      </c>
      <c r="AF100" s="10">
        <f>'PDB_woody perennials'!K507</f>
        <v>0</v>
      </c>
      <c r="AG100" s="80">
        <f>'PDB_woody perennials'!G507</f>
        <v>0</v>
      </c>
      <c r="AH100" s="10">
        <f>'PDB_woody perennials'!J507</f>
        <v>0</v>
      </c>
      <c r="AI100" s="10">
        <f t="shared" si="24"/>
        <v>0</v>
      </c>
      <c r="AJ100" s="10">
        <f>Assumptions!$E$16</f>
        <v>0.5</v>
      </c>
      <c r="AK100" s="10">
        <f t="shared" si="25"/>
        <v>0</v>
      </c>
      <c r="AL100" s="10">
        <f t="shared" si="26"/>
        <v>0</v>
      </c>
      <c r="AM100">
        <f t="shared" si="27"/>
        <v>0</v>
      </c>
    </row>
    <row r="101" spans="1:39" x14ac:dyDescent="0.2">
      <c r="A101" s="590" t="s">
        <v>30</v>
      </c>
      <c r="B101" s="590"/>
      <c r="C101" s="590"/>
      <c r="D101" s="590" t="s">
        <v>35</v>
      </c>
      <c r="E101" s="591">
        <f>Assumptions!D82</f>
        <v>18064.454000000005</v>
      </c>
      <c r="F101" s="55" t="s">
        <v>175</v>
      </c>
      <c r="G101" s="10">
        <f>'PDB_woody perennials'!K95</f>
        <v>2.5423947559023237E-3</v>
      </c>
      <c r="H101" s="80">
        <f>'PDB_woody perennials'!G95</f>
        <v>89.29107648725892</v>
      </c>
      <c r="I101" s="10">
        <f>'PDB_woody perennials'!J95</f>
        <v>163.3247433459139</v>
      </c>
      <c r="J101" s="10">
        <f>Assumptions!$E$16</f>
        <v>0.5</v>
      </c>
      <c r="K101" s="10">
        <f>'PDB_woody perennials'!K199</f>
        <v>2.6297399238867699E-3</v>
      </c>
      <c r="L101" s="80">
        <f>'PDB_woody perennials'!G199</f>
        <v>87.798501954040233</v>
      </c>
      <c r="M101" s="10">
        <f>'PDB_woody perennials'!J199</f>
        <v>170.31006827733364</v>
      </c>
      <c r="N101" s="10">
        <f t="shared" si="18"/>
        <v>6.9853249314197399</v>
      </c>
      <c r="O101" s="10">
        <f>Assumptions!$E$16</f>
        <v>0.5</v>
      </c>
      <c r="P101" s="10">
        <f t="shared" si="19"/>
        <v>3.3677577731372858E-2</v>
      </c>
      <c r="Q101" s="10">
        <f t="shared" si="28"/>
        <v>3.3677577731372858E-2</v>
      </c>
      <c r="R101" s="10">
        <f>'PDB_woody perennials'!K302</f>
        <v>2.7770157084289521E-3</v>
      </c>
      <c r="S101" s="80">
        <f>'PDB_woody perennials'!G302</f>
        <v>89.407843130387207</v>
      </c>
      <c r="T101" s="10">
        <f>'PDB_woody perennials'!J302</f>
        <v>180.89650809090148</v>
      </c>
      <c r="U101" s="10">
        <f t="shared" si="20"/>
        <v>10.586439813567836</v>
      </c>
      <c r="V101" s="10">
        <f>Assumptions!$E$16</f>
        <v>0.5</v>
      </c>
      <c r="W101" s="10">
        <f t="shared" si="21"/>
        <v>5.3897634374128499E-2</v>
      </c>
      <c r="X101" s="10">
        <f t="shared" si="29"/>
        <v>5.3897634374128499E-2</v>
      </c>
      <c r="Y101" s="10">
        <f>'PDB_woody perennials'!K405</f>
        <v>2.9325395164792748E-3</v>
      </c>
      <c r="Z101" s="80">
        <f>'PDB_woody perennials'!G405</f>
        <v>91.046683432166205</v>
      </c>
      <c r="AA101" s="10">
        <f>'PDB_woody perennials'!J405</f>
        <v>192.14099888794843</v>
      </c>
      <c r="AB101" s="10">
        <f t="shared" si="22"/>
        <v>11.24449079704695</v>
      </c>
      <c r="AC101" s="10">
        <f>Assumptions!$E$16</f>
        <v>0.5</v>
      </c>
      <c r="AD101" s="10">
        <f t="shared" si="23"/>
        <v>6.0454008275884152E-2</v>
      </c>
      <c r="AE101" s="10">
        <f t="shared" si="30"/>
        <v>6.0454008275884152E-2</v>
      </c>
      <c r="AF101" s="10">
        <f>'PDB_woody perennials'!K508</f>
        <v>3.0967732698126082E-3</v>
      </c>
      <c r="AG101" s="80">
        <f>'PDB_woody perennials'!G508</f>
        <v>92.715563576544</v>
      </c>
      <c r="AH101" s="10">
        <f>'PDB_woody perennials'!J508</f>
        <v>204.08444498611894</v>
      </c>
      <c r="AI101" s="10">
        <f t="shared" si="24"/>
        <v>11.943446098170512</v>
      </c>
      <c r="AJ101" s="10">
        <f>Assumptions!$E$16</f>
        <v>0.5</v>
      </c>
      <c r="AK101" s="10">
        <f t="shared" si="25"/>
        <v>6.7807931814813913E-2</v>
      </c>
      <c r="AL101" s="10">
        <f t="shared" si="26"/>
        <v>6.7807931814813913E-2</v>
      </c>
      <c r="AM101">
        <f t="shared" si="27"/>
        <v>5.3959288049049856E-2</v>
      </c>
    </row>
    <row r="102" spans="1:39" x14ac:dyDescent="0.2">
      <c r="A102" s="516"/>
      <c r="B102" s="516"/>
      <c r="C102" s="516"/>
      <c r="D102" s="516"/>
      <c r="E102" s="518"/>
      <c r="F102" s="55" t="s">
        <v>172</v>
      </c>
      <c r="G102" s="10">
        <f>'PDB_woody perennials'!K96</f>
        <v>0.12108917743411594</v>
      </c>
      <c r="H102" s="80">
        <f>'PDB_woody perennials'!G96</f>
        <v>669.68307365444207</v>
      </c>
      <c r="I102" s="10">
        <f>'PDB_woody perennials'!J96</f>
        <v>10455.926035209715</v>
      </c>
      <c r="J102" s="10">
        <f>Assumptions!$E$16</f>
        <v>0.5</v>
      </c>
      <c r="K102" s="10">
        <f>'PDB_woody perennials'!K200</f>
        <v>0.12524925309487916</v>
      </c>
      <c r="L102" s="80">
        <f>'PDB_woody perennials'!G200</f>
        <v>658.48876465530191</v>
      </c>
      <c r="M102" s="10">
        <f>'PDB_woody perennials'!J200</f>
        <v>10903.121232450259</v>
      </c>
      <c r="N102" s="10">
        <f t="shared" si="18"/>
        <v>447.19519724054408</v>
      </c>
      <c r="O102" s="10">
        <f>Assumptions!$E$16</f>
        <v>0.5</v>
      </c>
      <c r="P102" s="10">
        <f t="shared" si="19"/>
        <v>102.68658481032475</v>
      </c>
      <c r="Q102" s="10">
        <f t="shared" si="28"/>
        <v>102.68658481032475</v>
      </c>
      <c r="R102" s="10">
        <f>'PDB_woody perennials'!K303</f>
        <v>0.13226370416105418</v>
      </c>
      <c r="S102" s="80">
        <f>'PDB_woody perennials'!G303</f>
        <v>670.55882347790418</v>
      </c>
      <c r="T102" s="10">
        <f>'PDB_woody perennials'!J303</f>
        <v>11580.857069649301</v>
      </c>
      <c r="U102" s="10">
        <f t="shared" si="20"/>
        <v>677.73583719904127</v>
      </c>
      <c r="V102" s="10">
        <f>Assumptions!$E$16</f>
        <v>0.5</v>
      </c>
      <c r="W102" s="10">
        <f t="shared" si="21"/>
        <v>164.33972916283702</v>
      </c>
      <c r="X102" s="10">
        <f t="shared" si="29"/>
        <v>164.33972916283702</v>
      </c>
      <c r="Y102" s="10">
        <f>'PDB_woody perennials'!K406</f>
        <v>0.13967099209087497</v>
      </c>
      <c r="Z102" s="80">
        <f>'PDB_woody perennials'!G406</f>
        <v>682.85012574124664</v>
      </c>
      <c r="AA102" s="10">
        <f>'PDB_woody perennials'!J406</f>
        <v>12300.720831066692</v>
      </c>
      <c r="AB102" s="10">
        <f t="shared" si="22"/>
        <v>719.86376141739129</v>
      </c>
      <c r="AC102" s="10">
        <f>Assumptions!$E$16</f>
        <v>0.5</v>
      </c>
      <c r="AD102" s="10">
        <f t="shared" si="23"/>
        <v>184.33082383363262</v>
      </c>
      <c r="AE102" s="10">
        <f t="shared" si="30"/>
        <v>184.33082383363262</v>
      </c>
      <c r="AF102" s="10">
        <f>'PDB_woody perennials'!K509</f>
        <v>0.14749311729463493</v>
      </c>
      <c r="AG102" s="80">
        <f>'PDB_woody perennials'!G509</f>
        <v>695.36672682408005</v>
      </c>
      <c r="AH102" s="10">
        <f>'PDB_woody perennials'!J509</f>
        <v>13065.33118005402</v>
      </c>
      <c r="AI102" s="10">
        <f t="shared" si="24"/>
        <v>764.6103489873276</v>
      </c>
      <c r="AJ102" s="10">
        <f>Assumptions!$E$16</f>
        <v>0.5</v>
      </c>
      <c r="AK102" s="10">
        <f t="shared" si="25"/>
        <v>206.75373379444605</v>
      </c>
      <c r="AL102" s="10">
        <f t="shared" si="26"/>
        <v>206.75373379444605</v>
      </c>
      <c r="AM102">
        <f t="shared" si="27"/>
        <v>164.52771790031011</v>
      </c>
    </row>
    <row r="103" spans="1:39" x14ac:dyDescent="0.2">
      <c r="A103" s="516"/>
      <c r="B103" s="516"/>
      <c r="C103" s="516"/>
      <c r="D103" s="516"/>
      <c r="E103" s="518"/>
      <c r="F103" s="55" t="s">
        <v>202</v>
      </c>
      <c r="G103" s="10">
        <f>'PDB_woody perennials'!K97</f>
        <v>3.8723067633229069E-3</v>
      </c>
      <c r="H103" s="80">
        <f>'PDB_woody perennials'!G97</f>
        <v>44.64553824362946</v>
      </c>
      <c r="I103" s="10">
        <f>'PDB_woody perennials'!J97</f>
        <v>297.28968282561777</v>
      </c>
      <c r="J103" s="10">
        <f>Assumptions!$E$16</f>
        <v>0.5</v>
      </c>
      <c r="K103" s="10">
        <f>'PDB_woody perennials'!K201</f>
        <v>4.0053416840190479E-3</v>
      </c>
      <c r="L103" s="80">
        <f>'PDB_woody perennials'!G201</f>
        <v>43.899250977020117</v>
      </c>
      <c r="M103" s="10">
        <f>'PDB_woody perennials'!J201</f>
        <v>310.00462724097525</v>
      </c>
      <c r="N103" s="10">
        <f t="shared" si="18"/>
        <v>12.714944415357479</v>
      </c>
      <c r="O103" s="10">
        <f>Assumptions!$E$16</f>
        <v>0.5</v>
      </c>
      <c r="P103" s="10">
        <f t="shared" si="19"/>
        <v>9.3367444274163616E-2</v>
      </c>
      <c r="Q103" s="10">
        <f t="shared" si="28"/>
        <v>9.3367444274163616E-2</v>
      </c>
      <c r="R103" s="10">
        <f>'PDB_woody perennials'!K304</f>
        <v>4.2296565805284899E-3</v>
      </c>
      <c r="S103" s="80">
        <f>'PDB_woody perennials'!G304</f>
        <v>44.703921565193603</v>
      </c>
      <c r="T103" s="10">
        <f>'PDB_woody perennials'!J304</f>
        <v>329.27445292661736</v>
      </c>
      <c r="U103" s="10">
        <f t="shared" si="20"/>
        <v>19.269825685642104</v>
      </c>
      <c r="V103" s="10">
        <f>Assumptions!$E$16</f>
        <v>0.5</v>
      </c>
      <c r="W103" s="10">
        <f t="shared" si="21"/>
        <v>0.14942536586434058</v>
      </c>
      <c r="X103" s="10">
        <f t="shared" si="29"/>
        <v>0.14942536586434058</v>
      </c>
      <c r="Y103" s="10">
        <f>'PDB_woody perennials'!K407</f>
        <v>4.4665339939879353E-3</v>
      </c>
      <c r="Z103" s="80">
        <f>'PDB_woody perennials'!G407</f>
        <v>45.523341716083102</v>
      </c>
      <c r="AA103" s="10">
        <f>'PDB_woody perennials'!J407</f>
        <v>349.74208712647425</v>
      </c>
      <c r="AB103" s="10">
        <f t="shared" si="22"/>
        <v>20.467634199856889</v>
      </c>
      <c r="AC103" s="10">
        <f>Assumptions!$E$16</f>
        <v>0.5</v>
      </c>
      <c r="AD103" s="10">
        <f t="shared" si="23"/>
        <v>0.16760220387197988</v>
      </c>
      <c r="AE103" s="10">
        <f t="shared" si="30"/>
        <v>0.16760220387197988</v>
      </c>
      <c r="AF103" s="10">
        <f>'PDB_woody perennials'!K510</f>
        <v>4.7166774747838033E-3</v>
      </c>
      <c r="AG103" s="80">
        <f>'PDB_woody perennials'!G510</f>
        <v>46.357781788272</v>
      </c>
      <c r="AH103" s="10">
        <f>'PDB_woody perennials'!J510</f>
        <v>371.48198537844843</v>
      </c>
      <c r="AI103" s="10">
        <f t="shared" si="24"/>
        <v>21.739898251974182</v>
      </c>
      <c r="AJ103" s="10">
        <f>Assumptions!$E$16</f>
        <v>0.5</v>
      </c>
      <c r="AK103" s="10">
        <f t="shared" si="25"/>
        <v>0.18799016204682706</v>
      </c>
      <c r="AL103" s="10">
        <f t="shared" si="26"/>
        <v>0.18799016204682706</v>
      </c>
      <c r="AM103">
        <f t="shared" si="27"/>
        <v>0.14959629401432778</v>
      </c>
    </row>
    <row r="104" spans="1:39" x14ac:dyDescent="0.2">
      <c r="A104" s="516"/>
      <c r="B104" s="516"/>
      <c r="C104" s="516"/>
      <c r="D104" s="516"/>
      <c r="E104" s="518"/>
      <c r="F104" s="55" t="s">
        <v>177</v>
      </c>
      <c r="G104" s="10">
        <f>'PDB_woody perennials'!K98</f>
        <v>2.3943765332136907E-2</v>
      </c>
      <c r="H104" s="80">
        <f>'PDB_woody perennials'!G98</f>
        <v>401.80984419266514</v>
      </c>
      <c r="I104" s="10">
        <f>'PDB_woody perennials'!J98</f>
        <v>1731.0888524408685</v>
      </c>
      <c r="J104" s="10">
        <f>Assumptions!$E$16</f>
        <v>0.5</v>
      </c>
      <c r="K104" s="10">
        <f>'PDB_woody perennials'!K202</f>
        <v>2.4766364655180836E-2</v>
      </c>
      <c r="L104" s="80">
        <f>'PDB_woody perennials'!G202</f>
        <v>395.09325879318106</v>
      </c>
      <c r="M104" s="10">
        <f>'PDB_woody perennials'!J202</f>
        <v>1805.1267347098628</v>
      </c>
      <c r="N104" s="10">
        <f t="shared" si="18"/>
        <v>74.037882268994281</v>
      </c>
      <c r="O104" s="10">
        <f>Assumptions!$E$16</f>
        <v>0.5</v>
      </c>
      <c r="P104" s="10">
        <f t="shared" si="19"/>
        <v>3.3616901827139762</v>
      </c>
      <c r="Q104" s="10">
        <f t="shared" si="28"/>
        <v>3.3616901827139762</v>
      </c>
      <c r="R104" s="10">
        <f>'PDB_woody perennials'!K305</f>
        <v>2.6153378538842195E-2</v>
      </c>
      <c r="S104" s="80">
        <f>'PDB_woody perennials'!G305</f>
        <v>402.33529408674241</v>
      </c>
      <c r="T104" s="10">
        <f>'PDB_woody perennials'!J305</f>
        <v>1917.333051847553</v>
      </c>
      <c r="U104" s="10">
        <f t="shared" si="20"/>
        <v>112.20631713769012</v>
      </c>
      <c r="V104" s="10">
        <f>Assumptions!$E$16</f>
        <v>0.5</v>
      </c>
      <c r="W104" s="10">
        <f t="shared" si="21"/>
        <v>5.3800528586775407</v>
      </c>
      <c r="X104" s="10">
        <f t="shared" si="29"/>
        <v>5.3800528586775407</v>
      </c>
      <c r="Y104" s="10">
        <f>'PDB_woody perennials'!K408</f>
        <v>2.7618070658298528E-2</v>
      </c>
      <c r="Z104" s="80">
        <f>'PDB_woody perennials'!G408</f>
        <v>409.71007544474787</v>
      </c>
      <c r="AA104" s="10">
        <f>'PDB_woody perennials'!J408</f>
        <v>2036.5140912379873</v>
      </c>
      <c r="AB104" s="10">
        <f t="shared" si="22"/>
        <v>119.18103939043431</v>
      </c>
      <c r="AC104" s="10">
        <f>Assumptions!$E$16</f>
        <v>0.5</v>
      </c>
      <c r="AD104" s="10">
        <f t="shared" si="23"/>
        <v>6.0345090061932041</v>
      </c>
      <c r="AE104" s="10">
        <f t="shared" si="30"/>
        <v>6.0345090061932041</v>
      </c>
      <c r="AF104" s="10">
        <f>'PDB_woody perennials'!K511</f>
        <v>2.9164791300441192E-2</v>
      </c>
      <c r="AG104" s="80">
        <f>'PDB_woody perennials'!G511</f>
        <v>417.22003609444795</v>
      </c>
      <c r="AH104" s="10">
        <f>'PDB_woody perennials'!J511</f>
        <v>2163.1034002227402</v>
      </c>
      <c r="AI104" s="10">
        <f t="shared" si="24"/>
        <v>126.58930898475296</v>
      </c>
      <c r="AJ104" s="10">
        <f>Assumptions!$E$16</f>
        <v>0.5</v>
      </c>
      <c r="AK104" s="10">
        <f t="shared" si="25"/>
        <v>6.7685764252468728</v>
      </c>
      <c r="AL104" s="10">
        <f t="shared" si="26"/>
        <v>6.7685764252468728</v>
      </c>
      <c r="AM104">
        <f t="shared" si="27"/>
        <v>5.3862071182078983</v>
      </c>
    </row>
    <row r="105" spans="1:39" x14ac:dyDescent="0.2">
      <c r="A105" s="516"/>
      <c r="B105" s="516"/>
      <c r="C105" s="516"/>
      <c r="D105" s="516"/>
      <c r="E105" s="518"/>
      <c r="F105" s="55" t="s">
        <v>188</v>
      </c>
      <c r="G105" s="10">
        <f>'PDB_woody perennials'!K99</f>
        <v>2.4193227616593219E-2</v>
      </c>
      <c r="H105" s="80">
        <f>'PDB_woody perennials'!G99</f>
        <v>312.51876770540628</v>
      </c>
      <c r="I105" s="10">
        <f>'PDB_woody perennials'!J99</f>
        <v>1823.9127406321459</v>
      </c>
      <c r="J105" s="10">
        <f>Assumptions!$E$16</f>
        <v>0.5</v>
      </c>
      <c r="K105" s="10">
        <f>'PDB_woody perennials'!K203</f>
        <v>2.5024397333786606E-2</v>
      </c>
      <c r="L105" s="80">
        <f>'PDB_woody perennials'!G203</f>
        <v>307.29475683914086</v>
      </c>
      <c r="M105" s="10">
        <f>'PDB_woody perennials'!J203</f>
        <v>1901.9206583478822</v>
      </c>
      <c r="N105" s="10">
        <f t="shared" ref="N105:N108" si="31">M105-I105</f>
        <v>78.007917715736312</v>
      </c>
      <c r="O105" s="10">
        <f>Assumptions!$E$16</f>
        <v>0.5</v>
      </c>
      <c r="P105" s="10">
        <f t="shared" si="19"/>
        <v>3.5788520681831808</v>
      </c>
      <c r="Q105" s="10">
        <f t="shared" si="28"/>
        <v>3.5788520681831808</v>
      </c>
      <c r="R105" s="10">
        <f>'PDB_woody perennials'!K306</f>
        <v>2.642586206288481E-2</v>
      </c>
      <c r="S105" s="80">
        <f>'PDB_woody perennials'!G306</f>
        <v>312.92745095635524</v>
      </c>
      <c r="T105" s="10">
        <f>'PDB_woody perennials'!J306</f>
        <v>2020.1436664380083</v>
      </c>
      <c r="U105" s="10">
        <f t="shared" ref="U105:U108" si="32">T105-M105</f>
        <v>118.22300809012609</v>
      </c>
      <c r="V105" s="10">
        <f>Assumptions!$E$16</f>
        <v>0.5</v>
      </c>
      <c r="W105" s="10">
        <f t="shared" si="21"/>
        <v>5.7275989914898098</v>
      </c>
      <c r="X105" s="10">
        <f t="shared" si="29"/>
        <v>5.7275989914898098</v>
      </c>
      <c r="Y105" s="10">
        <f>'PDB_woody perennials'!K409</f>
        <v>2.7905814331990804E-2</v>
      </c>
      <c r="Z105" s="80">
        <f>'PDB_woody perennials'!G409</f>
        <v>318.66339201258171</v>
      </c>
      <c r="AA105" s="10">
        <f>'PDB_woody perennials'!J409</f>
        <v>2145.7153930882587</v>
      </c>
      <c r="AB105" s="10">
        <f t="shared" ref="AB105:AB108" si="33">AA105-T105</f>
        <v>125.57172665025041</v>
      </c>
      <c r="AC105" s="10">
        <f>Assumptions!$E$16</f>
        <v>0.5</v>
      </c>
      <c r="AD105" s="10">
        <f t="shared" si="23"/>
        <v>6.42433236362388</v>
      </c>
      <c r="AE105" s="10">
        <f t="shared" si="30"/>
        <v>6.42433236362388</v>
      </c>
      <c r="AF105" s="10">
        <f>'PDB_woody perennials'!K512</f>
        <v>2.9468649752216709E-2</v>
      </c>
      <c r="AG105" s="80">
        <f>'PDB_woody perennials'!G512</f>
        <v>324.50447251790399</v>
      </c>
      <c r="AH105" s="10">
        <f>'PDB_woody perennials'!J512</f>
        <v>2279.0926331759379</v>
      </c>
      <c r="AI105" s="10">
        <f t="shared" ref="AI105:AI108" si="34">AH105-AA105</f>
        <v>133.37724008767918</v>
      </c>
      <c r="AJ105" s="10">
        <f>Assumptions!$E$16</f>
        <v>0.5</v>
      </c>
      <c r="AK105" s="10">
        <f t="shared" ref="AK105:AK108" si="35">AF105*AI105*AJ105*44/12</f>
        <v>7.2058198172787487</v>
      </c>
      <c r="AL105" s="10">
        <f t="shared" si="26"/>
        <v>7.2058198172787487</v>
      </c>
      <c r="AM105">
        <f t="shared" si="27"/>
        <v>5.7341508101439045</v>
      </c>
    </row>
    <row r="106" spans="1:39" x14ac:dyDescent="0.2">
      <c r="A106" s="516"/>
      <c r="B106" s="516"/>
      <c r="C106" s="516"/>
      <c r="D106" s="516"/>
      <c r="E106" s="518"/>
      <c r="F106" s="55" t="s">
        <v>173</v>
      </c>
      <c r="G106" s="10">
        <f>'PDB_woody perennials'!K100</f>
        <v>1.4356055721661789E-2</v>
      </c>
      <c r="H106" s="80">
        <f>'PDB_woody perennials'!G100</f>
        <v>937.5563031162186</v>
      </c>
      <c r="I106" s="10">
        <f>'PDB_woody perennials'!J100</f>
        <v>835.10405411406089</v>
      </c>
      <c r="J106" s="10">
        <f>Assumptions!$E$16</f>
        <v>0.5</v>
      </c>
      <c r="K106" s="10">
        <f>'PDB_woody perennials'!K204</f>
        <v>1.4849264770213968E-2</v>
      </c>
      <c r="L106" s="80">
        <f>'PDB_woody perennials'!G204</f>
        <v>921.88427051742246</v>
      </c>
      <c r="M106" s="10">
        <f>'PDB_woody perennials'!J204</f>
        <v>870.82107438929177</v>
      </c>
      <c r="N106" s="10">
        <f t="shared" si="31"/>
        <v>35.71702027523088</v>
      </c>
      <c r="O106" s="10">
        <f>Assumptions!$E$16</f>
        <v>0.5</v>
      </c>
      <c r="P106" s="10">
        <f t="shared" si="19"/>
        <v>0.97234773326167379</v>
      </c>
      <c r="Q106" s="10">
        <f t="shared" si="28"/>
        <v>0.97234773326167379</v>
      </c>
      <c r="R106" s="10">
        <f>'PDB_woody perennials'!K307</f>
        <v>1.5680882033595488E-2</v>
      </c>
      <c r="S106" s="80">
        <f>'PDB_woody perennials'!G307</f>
        <v>938.78235286906568</v>
      </c>
      <c r="T106" s="10">
        <f>'PDB_woody perennials'!J307</f>
        <v>924.95113836998758</v>
      </c>
      <c r="U106" s="10">
        <f t="shared" si="32"/>
        <v>54.130063980695809</v>
      </c>
      <c r="V106" s="10">
        <f>Assumptions!$E$16</f>
        <v>0.5</v>
      </c>
      <c r="W106" s="10">
        <f t="shared" si="21"/>
        <v>1.5561464375458229</v>
      </c>
      <c r="X106" s="10">
        <f t="shared" si="29"/>
        <v>1.5561464375458229</v>
      </c>
      <c r="Y106" s="10">
        <f>'PDB_woody perennials'!K410</f>
        <v>1.6559073136386309E-2</v>
      </c>
      <c r="Z106" s="80">
        <f>'PDB_woody perennials'!G410</f>
        <v>955.99017603774507</v>
      </c>
      <c r="AA106" s="10">
        <f>'PDB_woody perennials'!J410</f>
        <v>982.44591631170852</v>
      </c>
      <c r="AB106" s="10">
        <f t="shared" si="33"/>
        <v>57.49477794172094</v>
      </c>
      <c r="AC106" s="10">
        <f>Assumptions!$E$16</f>
        <v>0.5</v>
      </c>
      <c r="AD106" s="10">
        <f t="shared" si="23"/>
        <v>1.7454437603116204</v>
      </c>
      <c r="AE106" s="10">
        <f t="shared" si="30"/>
        <v>1.7454437603116204</v>
      </c>
      <c r="AF106" s="10">
        <f>'PDB_woody perennials'!K513</f>
        <v>1.7486446396875195E-2</v>
      </c>
      <c r="AG106" s="80">
        <f>'PDB_woody perennials'!G513</f>
        <v>973.51341755371186</v>
      </c>
      <c r="AH106" s="10">
        <f>'PDB_woody perennials'!J513</f>
        <v>1043.5145581619561</v>
      </c>
      <c r="AI106" s="10">
        <f t="shared" si="34"/>
        <v>61.068641850247559</v>
      </c>
      <c r="AJ106" s="10">
        <f>Assumptions!$E$16</f>
        <v>0.5</v>
      </c>
      <c r="AK106" s="10">
        <f t="shared" si="35"/>
        <v>1.9577681424479259</v>
      </c>
      <c r="AL106" s="10">
        <f t="shared" si="26"/>
        <v>1.9577681424479259</v>
      </c>
      <c r="AM106">
        <f t="shared" si="27"/>
        <v>1.5579265183917608</v>
      </c>
    </row>
    <row r="107" spans="1:39" x14ac:dyDescent="0.2">
      <c r="A107" s="516"/>
      <c r="B107" s="516"/>
      <c r="C107" s="516"/>
      <c r="D107" s="516"/>
      <c r="E107" s="518"/>
      <c r="F107" s="55" t="s">
        <v>185</v>
      </c>
      <c r="G107" s="10">
        <f>'PDB_woody perennials'!K101</f>
        <v>7.2354520837175432E-2</v>
      </c>
      <c r="H107" s="80">
        <f>'PDB_woody perennials'!G101</f>
        <v>267.87322946177676</v>
      </c>
      <c r="I107" s="10">
        <f>'PDB_woody perennials'!J101</f>
        <v>6662.0962280530421</v>
      </c>
      <c r="J107" s="10">
        <f>Assumptions!$E$16</f>
        <v>0.5</v>
      </c>
      <c r="K107" s="10">
        <f>'PDB_woody perennials'!K205</f>
        <v>7.4840294441878397E-2</v>
      </c>
      <c r="L107" s="80">
        <f>'PDB_woody perennials'!G205</f>
        <v>263.39550586212073</v>
      </c>
      <c r="M107" s="10">
        <f>'PDB_woody perennials'!J205</f>
        <v>6947.0310513013073</v>
      </c>
      <c r="N107" s="10">
        <f t="shared" si="31"/>
        <v>284.93482324826527</v>
      </c>
      <c r="O107" s="10">
        <f>Assumptions!$E$16</f>
        <v>0.5</v>
      </c>
      <c r="P107" s="10">
        <f t="shared" si="19"/>
        <v>39.09511112584871</v>
      </c>
      <c r="Q107" s="10">
        <f t="shared" si="28"/>
        <v>39.09511112584871</v>
      </c>
      <c r="R107" s="10">
        <f>'PDB_woody perennials'!K308</f>
        <v>7.9031645449321272E-2</v>
      </c>
      <c r="S107" s="80">
        <f>'PDB_woody perennials'!G308</f>
        <v>268.22352939116166</v>
      </c>
      <c r="T107" s="10">
        <f>'PDB_woody perennials'!J308</f>
        <v>7378.8571133273545</v>
      </c>
      <c r="U107" s="10">
        <f t="shared" si="32"/>
        <v>431.82606202604711</v>
      </c>
      <c r="V107" s="10">
        <f>Assumptions!$E$16</f>
        <v>0.5</v>
      </c>
      <c r="W107" s="10">
        <f t="shared" si="21"/>
        <v>62.567861088001813</v>
      </c>
      <c r="X107" s="10">
        <f t="shared" si="29"/>
        <v>62.567861088001813</v>
      </c>
      <c r="Y107" s="10">
        <f>'PDB_woody perennials'!K411</f>
        <v>8.3457728607387038E-2</v>
      </c>
      <c r="Z107" s="80">
        <f>'PDB_woody perennials'!G411</f>
        <v>273.14005029649866</v>
      </c>
      <c r="AA107" s="10">
        <f>'PDB_woody perennials'!J411</f>
        <v>7837.525397083502</v>
      </c>
      <c r="AB107" s="10">
        <f t="shared" si="33"/>
        <v>458.6682837561475</v>
      </c>
      <c r="AC107" s="10">
        <f>Assumptions!$E$16</f>
        <v>0.5</v>
      </c>
      <c r="AD107" s="10">
        <f t="shared" si="23"/>
        <v>70.178924101983668</v>
      </c>
      <c r="AE107" s="10">
        <f t="shared" si="30"/>
        <v>70.178924101983668</v>
      </c>
      <c r="AF107" s="10">
        <f>'PDB_woody perennials'!K514</f>
        <v>8.8131689840251021E-2</v>
      </c>
      <c r="AG107" s="80">
        <f>'PDB_woody perennials'!G514</f>
        <v>278.14669072963204</v>
      </c>
      <c r="AH107" s="10">
        <f>'PDB_woody perennials'!J514</f>
        <v>8324.7044097090075</v>
      </c>
      <c r="AI107" s="10">
        <f t="shared" si="34"/>
        <v>487.17901262550549</v>
      </c>
      <c r="AJ107" s="10">
        <f>Assumptions!$E$16</f>
        <v>0.5</v>
      </c>
      <c r="AK107" s="10">
        <f t="shared" si="35"/>
        <v>78.715834335216442</v>
      </c>
      <c r="AL107" s="10">
        <f t="shared" si="26"/>
        <v>78.715834335216442</v>
      </c>
      <c r="AM107">
        <f t="shared" si="27"/>
        <v>62.639432662762658</v>
      </c>
    </row>
    <row r="108" spans="1:39" x14ac:dyDescent="0.2">
      <c r="A108" s="516"/>
      <c r="B108" s="516"/>
      <c r="C108" s="516"/>
      <c r="D108" s="516"/>
      <c r="E108" s="518"/>
      <c r="F108" s="55" t="s">
        <v>170</v>
      </c>
      <c r="G108" s="10">
        <f>'PDB_woody perennials'!K102</f>
        <v>1.7939137397646801E-3</v>
      </c>
      <c r="H108" s="80">
        <f>'PDB_woody perennials'!G102</f>
        <v>89.29107648725892</v>
      </c>
      <c r="I108" s="10">
        <f>'PDB_woody perennials'!J102</f>
        <v>108.98831243552868</v>
      </c>
      <c r="J108" s="10">
        <f>Assumptions!$E$16</f>
        <v>0.5</v>
      </c>
      <c r="K108" s="10">
        <f>'PDB_woody perennials'!K206</f>
        <v>1.8555444902945055E-3</v>
      </c>
      <c r="L108" s="80">
        <f>'PDB_woody perennials'!G206</f>
        <v>87.798501954040233</v>
      </c>
      <c r="M108" s="10">
        <f>'PDB_woody perennials'!J206</f>
        <v>113.64969294954459</v>
      </c>
      <c r="N108" s="10">
        <f t="shared" si="31"/>
        <v>4.661380514015903</v>
      </c>
      <c r="O108" s="10">
        <f>Assumptions!$E$16</f>
        <v>0.5</v>
      </c>
      <c r="P108" s="10">
        <f t="shared" si="19"/>
        <v>1.5857231371572029E-2</v>
      </c>
      <c r="Q108" s="10">
        <f>P108</f>
        <v>1.5857231371572029E-2</v>
      </c>
      <c r="R108" s="10">
        <f>'PDB_woody perennials'!K309</f>
        <v>1.9594622838674694E-3</v>
      </c>
      <c r="S108" s="80">
        <f>'PDB_woody perennials'!G309</f>
        <v>89.407843130387207</v>
      </c>
      <c r="T108" s="10">
        <f>'PDB_woody perennials'!J309</f>
        <v>120.7141351543449</v>
      </c>
      <c r="U108" s="10">
        <f t="shared" si="32"/>
        <v>7.064442204800315</v>
      </c>
      <c r="V108" s="10">
        <f>Assumptions!$E$16</f>
        <v>0.5</v>
      </c>
      <c r="W108" s="10">
        <f t="shared" si="21"/>
        <v>2.5377931437590904E-2</v>
      </c>
      <c r="X108" s="10">
        <f t="shared" si="29"/>
        <v>2.5377931437590904E-2</v>
      </c>
      <c r="Y108" s="10">
        <f>'PDB_woody perennials'!K412</f>
        <v>2.0691998828277778E-3</v>
      </c>
      <c r="Z108" s="80">
        <f>'PDB_woody perennials'!G412</f>
        <v>91.046683432166205</v>
      </c>
      <c r="AA108" s="10">
        <f>'PDB_woody perennials'!J412</f>
        <v>128.21770167501222</v>
      </c>
      <c r="AB108" s="10">
        <f t="shared" si="33"/>
        <v>7.5035665206673201</v>
      </c>
      <c r="AC108" s="10">
        <f>Assumptions!$E$16</f>
        <v>0.5</v>
      </c>
      <c r="AD108" s="10">
        <f t="shared" si="23"/>
        <v>2.84650281031513E-2</v>
      </c>
      <c r="AE108" s="10">
        <f t="shared" si="30"/>
        <v>2.84650281031513E-2</v>
      </c>
      <c r="AF108" s="10">
        <f>'PDB_woody perennials'!K515</f>
        <v>2.1850832191797772E-3</v>
      </c>
      <c r="AG108" s="80">
        <f>'PDB_woody perennials'!G515</f>
        <v>92.715563576544</v>
      </c>
      <c r="AH108" s="10">
        <f>'PDB_woody perennials'!J515</f>
        <v>136.18768839127688</v>
      </c>
      <c r="AI108" s="10">
        <f t="shared" si="34"/>
        <v>7.9699867162646569</v>
      </c>
      <c r="AJ108" s="10">
        <f>Assumptions!$E$16</f>
        <v>0.5</v>
      </c>
      <c r="AK108" s="10">
        <f t="shared" si="35"/>
        <v>3.1927654423125333E-2</v>
      </c>
      <c r="AL108" s="10">
        <f t="shared" si="26"/>
        <v>3.1927654423125333E-2</v>
      </c>
      <c r="AM108">
        <f t="shared" si="27"/>
        <v>2.540696133385989E-2</v>
      </c>
    </row>
    <row r="109" spans="1:39" x14ac:dyDescent="0.2">
      <c r="G109" s="594"/>
      <c r="H109" s="594"/>
      <c r="I109" s="594"/>
      <c r="J109" s="594"/>
      <c r="K109" s="594" t="s">
        <v>344</v>
      </c>
      <c r="L109" s="594"/>
      <c r="M109" s="594"/>
      <c r="N109" s="594"/>
      <c r="O109" s="594"/>
      <c r="P109" s="594"/>
      <c r="Q109" s="78">
        <f>SUM(Q21:Q108)</f>
        <v>4831.5663192153052</v>
      </c>
      <c r="R109" s="594" t="s">
        <v>345</v>
      </c>
      <c r="S109" s="594"/>
      <c r="T109" s="594"/>
      <c r="U109" s="594"/>
      <c r="V109" s="594"/>
      <c r="W109" s="594"/>
      <c r="X109" s="78">
        <f>SUM(X21:X108)</f>
        <v>7732.4443285249599</v>
      </c>
      <c r="Y109" s="594" t="s">
        <v>346</v>
      </c>
      <c r="Z109" s="594"/>
      <c r="AA109" s="594"/>
      <c r="AB109" s="594"/>
      <c r="AC109" s="594"/>
      <c r="AD109" s="594"/>
      <c r="AE109" s="78">
        <f>SUM(AE21:AE108)</f>
        <v>8673.0569691543787</v>
      </c>
      <c r="AF109" s="594" t="s">
        <v>347</v>
      </c>
      <c r="AG109" s="594"/>
      <c r="AH109" s="594"/>
      <c r="AI109" s="594"/>
      <c r="AJ109" s="594"/>
      <c r="AK109" s="594"/>
      <c r="AL109" s="78">
        <f>SUM(AL21:AL108)</f>
        <v>9951.9395125091469</v>
      </c>
      <c r="AM109">
        <f>SUM(AM9:AM108)</f>
        <v>7988.9127614672288</v>
      </c>
    </row>
  </sheetData>
  <mergeCells count="82">
    <mergeCell ref="G109:J109"/>
    <mergeCell ref="K109:P109"/>
    <mergeCell ref="R109:W109"/>
    <mergeCell ref="Y109:AD109"/>
    <mergeCell ref="AF109:AK109"/>
    <mergeCell ref="AF5:AL5"/>
    <mergeCell ref="A82:A97"/>
    <mergeCell ref="B82:B97"/>
    <mergeCell ref="C82:C97"/>
    <mergeCell ref="D82:D97"/>
    <mergeCell ref="E82:E97"/>
    <mergeCell ref="A75:A77"/>
    <mergeCell ref="B75:B77"/>
    <mergeCell ref="C75:C77"/>
    <mergeCell ref="D75:D77"/>
    <mergeCell ref="E75:E77"/>
    <mergeCell ref="A78:A79"/>
    <mergeCell ref="B78:B79"/>
    <mergeCell ref="C78:C79"/>
    <mergeCell ref="D78:D79"/>
    <mergeCell ref="E78:E79"/>
    <mergeCell ref="A101:A108"/>
    <mergeCell ref="B101:B108"/>
    <mergeCell ref="C101:C108"/>
    <mergeCell ref="D101:D108"/>
    <mergeCell ref="E101:E108"/>
    <mergeCell ref="A56:A69"/>
    <mergeCell ref="B56:B69"/>
    <mergeCell ref="C56:C69"/>
    <mergeCell ref="D56:D69"/>
    <mergeCell ref="E56:E69"/>
    <mergeCell ref="A71:A74"/>
    <mergeCell ref="B71:B74"/>
    <mergeCell ref="C71:C74"/>
    <mergeCell ref="D71:D74"/>
    <mergeCell ref="E71:E74"/>
    <mergeCell ref="A41:A50"/>
    <mergeCell ref="B41:B50"/>
    <mergeCell ref="C41:C50"/>
    <mergeCell ref="D41:D50"/>
    <mergeCell ref="E41:E50"/>
    <mergeCell ref="A51:A55"/>
    <mergeCell ref="B51:B55"/>
    <mergeCell ref="C51:C55"/>
    <mergeCell ref="D51:D55"/>
    <mergeCell ref="E51:E55"/>
    <mergeCell ref="A30:A32"/>
    <mergeCell ref="B30:B32"/>
    <mergeCell ref="C30:C32"/>
    <mergeCell ref="D30:D32"/>
    <mergeCell ref="E30:E32"/>
    <mergeCell ref="A34:A38"/>
    <mergeCell ref="B34:B38"/>
    <mergeCell ref="C34:C38"/>
    <mergeCell ref="D34:D38"/>
    <mergeCell ref="E34:E38"/>
    <mergeCell ref="A22:A25"/>
    <mergeCell ref="B22:B25"/>
    <mergeCell ref="C22:C25"/>
    <mergeCell ref="D22:D25"/>
    <mergeCell ref="E22:E25"/>
    <mergeCell ref="A26:A29"/>
    <mergeCell ref="B26:B29"/>
    <mergeCell ref="C26:C29"/>
    <mergeCell ref="D26:D29"/>
    <mergeCell ref="E26:E29"/>
    <mergeCell ref="A9:A21"/>
    <mergeCell ref="B9:B21"/>
    <mergeCell ref="C9:C21"/>
    <mergeCell ref="D9:D21"/>
    <mergeCell ref="E9:E21"/>
    <mergeCell ref="A1:F1"/>
    <mergeCell ref="G5:J5"/>
    <mergeCell ref="K5:Q5"/>
    <mergeCell ref="R5:X5"/>
    <mergeCell ref="Y5:AE5"/>
    <mergeCell ref="A5:A7"/>
    <mergeCell ref="B5:B7"/>
    <mergeCell ref="C5:C7"/>
    <mergeCell ref="D5:D7"/>
    <mergeCell ref="E5:E7"/>
    <mergeCell ref="F5:F7"/>
  </mergeCells>
  <pageMargins left="0.7" right="0.7" top="0.75" bottom="0.75" header="0.3" footer="0.3"/>
  <pageSetup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ED24C-901E-468A-B75F-8F0F6CFAEAC4}">
  <dimension ref="A1:AO164"/>
  <sheetViews>
    <sheetView topLeftCell="A4" zoomScale="110" zoomScaleNormal="110" workbookViewId="0">
      <selection activeCell="F9" sqref="F9"/>
    </sheetView>
  </sheetViews>
  <sheetFormatPr baseColWidth="10" defaultColWidth="8.83203125" defaultRowHeight="15" x14ac:dyDescent="0.2"/>
  <cols>
    <col min="2" max="2" width="15.33203125" customWidth="1"/>
    <col min="3" max="3" width="14.1640625" customWidth="1"/>
    <col min="5" max="5" width="10.6640625" bestFit="1" customWidth="1"/>
    <col min="6" max="6" width="22.5" customWidth="1"/>
    <col min="7" max="7" width="15.6640625" customWidth="1"/>
    <col min="8" max="8" width="9.1640625" customWidth="1"/>
    <col min="9" max="9" width="12.83203125" customWidth="1"/>
    <col min="10" max="10" width="17.1640625" customWidth="1"/>
    <col min="11" max="11" width="10.33203125" customWidth="1"/>
    <col min="12" max="13" width="15.6640625" customWidth="1"/>
    <col min="14" max="14" width="13.5" customWidth="1"/>
    <col min="15" max="15" width="8.1640625" customWidth="1"/>
    <col min="16" max="16" width="10" customWidth="1"/>
    <col min="17" max="17" width="25" customWidth="1"/>
    <col min="18" max="18" width="14.1640625" customWidth="1"/>
    <col min="19" max="19" width="16.1640625" customWidth="1"/>
    <col min="20" max="20" width="13.83203125" customWidth="1"/>
    <col min="21" max="21" width="14.5" customWidth="1"/>
    <col min="22" max="22" width="10" customWidth="1"/>
    <col min="23" max="23" width="10.33203125" customWidth="1"/>
    <col min="24" max="24" width="25" customWidth="1"/>
    <col min="25" max="25" width="15.83203125" customWidth="1"/>
    <col min="26" max="26" width="27.5" customWidth="1"/>
    <col min="27" max="27" width="21.1640625" customWidth="1"/>
    <col min="28" max="29" width="14.5" customWidth="1"/>
    <col min="30" max="30" width="9.5" customWidth="1"/>
    <col min="31" max="31" width="25" customWidth="1"/>
    <col min="32" max="32" width="15.83203125" customWidth="1"/>
    <col min="33" max="33" width="27.5" customWidth="1"/>
    <col min="34" max="34" width="28.1640625" customWidth="1"/>
    <col min="35" max="36" width="14.5" customWidth="1"/>
    <col min="37" max="37" width="9.5" customWidth="1"/>
    <col min="38" max="38" width="25" customWidth="1"/>
    <col min="39" max="39" width="15.83203125" customWidth="1"/>
    <col min="40" max="40" width="27.5" customWidth="1"/>
    <col min="41" max="41" width="21.1640625" customWidth="1"/>
  </cols>
  <sheetData>
    <row r="1" spans="1:41" x14ac:dyDescent="0.2">
      <c r="A1" s="577" t="s">
        <v>415</v>
      </c>
      <c r="B1" s="577"/>
      <c r="C1" s="577"/>
      <c r="D1" s="577"/>
      <c r="E1" s="577"/>
      <c r="F1" s="577"/>
    </row>
    <row r="2" spans="1:41" x14ac:dyDescent="0.2">
      <c r="A2" s="108" t="s">
        <v>416</v>
      </c>
      <c r="B2" s="108">
        <v>2710</v>
      </c>
      <c r="E2" s="11"/>
    </row>
    <row r="3" spans="1:41" x14ac:dyDescent="0.2">
      <c r="A3" s="108" t="s">
        <v>417</v>
      </c>
      <c r="B3" s="108">
        <v>6</v>
      </c>
      <c r="E3" s="11"/>
    </row>
    <row r="5" spans="1:41" ht="21" customHeight="1" x14ac:dyDescent="0.2">
      <c r="A5" s="499" t="s">
        <v>8</v>
      </c>
      <c r="B5" s="499" t="s">
        <v>169</v>
      </c>
      <c r="C5" s="499" t="s">
        <v>31</v>
      </c>
      <c r="D5" s="499" t="s">
        <v>32</v>
      </c>
      <c r="E5" s="499" t="s">
        <v>65</v>
      </c>
      <c r="F5" s="600" t="s">
        <v>91</v>
      </c>
      <c r="G5" s="565">
        <v>2022</v>
      </c>
      <c r="H5" s="556"/>
      <c r="I5" s="556"/>
      <c r="J5" s="549"/>
      <c r="K5" s="549"/>
      <c r="L5" s="549"/>
      <c r="M5" s="550"/>
      <c r="N5" s="565">
        <v>2021</v>
      </c>
      <c r="O5" s="556"/>
      <c r="P5" s="556"/>
      <c r="Q5" s="549"/>
      <c r="R5" s="549"/>
      <c r="S5" s="549"/>
      <c r="T5" s="550"/>
      <c r="U5" s="565">
        <v>2020</v>
      </c>
      <c r="V5" s="556"/>
      <c r="W5" s="556"/>
      <c r="X5" s="549"/>
      <c r="Y5" s="549"/>
      <c r="Z5" s="549"/>
      <c r="AA5" s="550"/>
      <c r="AB5" s="565">
        <v>2019</v>
      </c>
      <c r="AC5" s="556"/>
      <c r="AD5" s="556"/>
      <c r="AE5" s="549"/>
      <c r="AF5" s="549"/>
      <c r="AG5" s="549"/>
      <c r="AH5" s="550"/>
      <c r="AI5" s="565">
        <v>2018</v>
      </c>
      <c r="AJ5" s="556"/>
      <c r="AK5" s="556"/>
      <c r="AL5" s="549"/>
      <c r="AM5" s="549"/>
      <c r="AN5" s="549"/>
      <c r="AO5" s="550"/>
    </row>
    <row r="6" spans="1:41" ht="96" x14ac:dyDescent="0.2">
      <c r="A6" s="500"/>
      <c r="B6" s="501"/>
      <c r="C6" s="501"/>
      <c r="D6" s="501"/>
      <c r="E6" s="501"/>
      <c r="F6" s="585"/>
      <c r="G6" s="54" t="s">
        <v>331</v>
      </c>
      <c r="H6" s="54" t="s">
        <v>203</v>
      </c>
      <c r="I6" s="57" t="s">
        <v>205</v>
      </c>
      <c r="J6" s="54" t="s">
        <v>145</v>
      </c>
      <c r="K6" s="54" t="s">
        <v>85</v>
      </c>
      <c r="L6" s="54" t="s">
        <v>146</v>
      </c>
      <c r="M6" s="54" t="s">
        <v>148</v>
      </c>
      <c r="N6" s="54" t="s">
        <v>332</v>
      </c>
      <c r="O6" s="54" t="s">
        <v>203</v>
      </c>
      <c r="P6" s="57" t="s">
        <v>205</v>
      </c>
      <c r="Q6" s="54" t="s">
        <v>145</v>
      </c>
      <c r="R6" s="54" t="s">
        <v>85</v>
      </c>
      <c r="S6" s="54" t="s">
        <v>146</v>
      </c>
      <c r="T6" s="54" t="s">
        <v>148</v>
      </c>
      <c r="U6" s="54" t="s">
        <v>333</v>
      </c>
      <c r="V6" s="54" t="s">
        <v>203</v>
      </c>
      <c r="W6" s="57" t="s">
        <v>205</v>
      </c>
      <c r="X6" s="54" t="s">
        <v>145</v>
      </c>
      <c r="Y6" s="54" t="s">
        <v>85</v>
      </c>
      <c r="Z6" s="54" t="s">
        <v>146</v>
      </c>
      <c r="AA6" s="54" t="s">
        <v>148</v>
      </c>
      <c r="AB6" s="54" t="s">
        <v>334</v>
      </c>
      <c r="AC6" s="54" t="s">
        <v>203</v>
      </c>
      <c r="AD6" s="57" t="s">
        <v>205</v>
      </c>
      <c r="AE6" s="54" t="s">
        <v>145</v>
      </c>
      <c r="AF6" s="54" t="s">
        <v>85</v>
      </c>
      <c r="AG6" s="54" t="s">
        <v>146</v>
      </c>
      <c r="AH6" s="54" t="s">
        <v>148</v>
      </c>
      <c r="AI6" s="54" t="s">
        <v>335</v>
      </c>
      <c r="AJ6" s="54" t="s">
        <v>203</v>
      </c>
      <c r="AK6" s="57" t="s">
        <v>205</v>
      </c>
      <c r="AL6" s="54" t="s">
        <v>145</v>
      </c>
      <c r="AM6" s="54" t="s">
        <v>85</v>
      </c>
      <c r="AN6" s="54" t="s">
        <v>146</v>
      </c>
      <c r="AO6" s="54" t="s">
        <v>148</v>
      </c>
    </row>
    <row r="7" spans="1:41" ht="18" x14ac:dyDescent="0.25">
      <c r="A7" s="578"/>
      <c r="B7" s="579"/>
      <c r="C7" s="579"/>
      <c r="D7" s="579"/>
      <c r="E7" s="579"/>
      <c r="F7" s="586"/>
      <c r="G7" s="210" t="s">
        <v>617</v>
      </c>
      <c r="H7" s="54"/>
      <c r="I7" s="57" t="s">
        <v>206</v>
      </c>
      <c r="J7" s="211" t="s">
        <v>616</v>
      </c>
      <c r="K7" s="11" t="s">
        <v>87</v>
      </c>
      <c r="L7" s="11" t="s">
        <v>147</v>
      </c>
      <c r="M7" s="11" t="s">
        <v>149</v>
      </c>
      <c r="N7" s="210" t="s">
        <v>617</v>
      </c>
      <c r="O7" s="54"/>
      <c r="P7" s="57" t="s">
        <v>206</v>
      </c>
      <c r="Q7" s="211" t="s">
        <v>616</v>
      </c>
      <c r="R7" s="11" t="s">
        <v>87</v>
      </c>
      <c r="S7" s="11" t="s">
        <v>147</v>
      </c>
      <c r="T7" s="11" t="s">
        <v>149</v>
      </c>
      <c r="U7" s="210" t="s">
        <v>617</v>
      </c>
      <c r="V7" s="54"/>
      <c r="W7" s="57" t="s">
        <v>206</v>
      </c>
      <c r="X7" s="211" t="s">
        <v>616</v>
      </c>
      <c r="Y7" s="11" t="s">
        <v>87</v>
      </c>
      <c r="Z7" s="11" t="s">
        <v>147</v>
      </c>
      <c r="AA7" s="11" t="s">
        <v>149</v>
      </c>
      <c r="AB7" s="210" t="s">
        <v>617</v>
      </c>
      <c r="AC7" s="54"/>
      <c r="AD7" s="57" t="s">
        <v>206</v>
      </c>
      <c r="AE7" s="211" t="s">
        <v>616</v>
      </c>
      <c r="AF7" s="11" t="s">
        <v>87</v>
      </c>
      <c r="AG7" s="11" t="s">
        <v>147</v>
      </c>
      <c r="AH7" s="11" t="s">
        <v>149</v>
      </c>
      <c r="AI7" s="210" t="s">
        <v>617</v>
      </c>
      <c r="AJ7" s="54"/>
      <c r="AK7" s="57" t="s">
        <v>206</v>
      </c>
      <c r="AL7" s="211" t="s">
        <v>616</v>
      </c>
      <c r="AM7" s="11" t="s">
        <v>87</v>
      </c>
      <c r="AN7" s="11" t="s">
        <v>147</v>
      </c>
      <c r="AO7" s="11" t="s">
        <v>149</v>
      </c>
    </row>
    <row r="8" spans="1:41" ht="16" x14ac:dyDescent="0.2">
      <c r="A8" s="199"/>
      <c r="B8" s="200"/>
      <c r="C8" s="200"/>
      <c r="D8" s="200"/>
      <c r="E8" s="200"/>
      <c r="F8" s="1"/>
      <c r="G8" s="38" t="s">
        <v>52</v>
      </c>
      <c r="I8" s="54" t="s">
        <v>204</v>
      </c>
      <c r="J8" s="11" t="s">
        <v>84</v>
      </c>
      <c r="K8" s="11" t="s">
        <v>86</v>
      </c>
      <c r="L8" s="11" t="s">
        <v>88</v>
      </c>
      <c r="M8" s="11" t="s">
        <v>88</v>
      </c>
      <c r="N8" s="38" t="s">
        <v>52</v>
      </c>
      <c r="P8" t="s">
        <v>204</v>
      </c>
      <c r="Q8" s="11" t="s">
        <v>84</v>
      </c>
      <c r="R8" s="11" t="s">
        <v>86</v>
      </c>
      <c r="S8" s="11" t="s">
        <v>88</v>
      </c>
      <c r="T8" s="11" t="s">
        <v>88</v>
      </c>
      <c r="U8" s="38" t="s">
        <v>52</v>
      </c>
      <c r="W8" s="54" t="s">
        <v>204</v>
      </c>
      <c r="X8" s="11" t="s">
        <v>84</v>
      </c>
      <c r="Y8" s="11" t="s">
        <v>86</v>
      </c>
      <c r="Z8" s="11" t="s">
        <v>88</v>
      </c>
      <c r="AA8" s="11" t="s">
        <v>88</v>
      </c>
      <c r="AB8" s="38" t="s">
        <v>52</v>
      </c>
      <c r="AD8" s="54" t="s">
        <v>204</v>
      </c>
      <c r="AE8" s="11" t="s">
        <v>84</v>
      </c>
      <c r="AF8" s="11" t="s">
        <v>86</v>
      </c>
      <c r="AG8" s="11" t="s">
        <v>88</v>
      </c>
      <c r="AH8" s="11" t="s">
        <v>88</v>
      </c>
      <c r="AI8" s="38" t="s">
        <v>52</v>
      </c>
      <c r="AK8" s="54" t="s">
        <v>204</v>
      </c>
      <c r="AL8" s="11" t="s">
        <v>84</v>
      </c>
      <c r="AM8" s="11" t="s">
        <v>86</v>
      </c>
      <c r="AN8" s="11" t="s">
        <v>88</v>
      </c>
      <c r="AO8" s="11" t="s">
        <v>88</v>
      </c>
    </row>
    <row r="9" spans="1:41" ht="14.5" customHeight="1" x14ac:dyDescent="0.2">
      <c r="A9" s="580" t="s">
        <v>9</v>
      </c>
      <c r="B9" s="580" t="s">
        <v>709</v>
      </c>
      <c r="C9" s="580" t="s">
        <v>709</v>
      </c>
      <c r="D9" s="580" t="s">
        <v>34</v>
      </c>
      <c r="E9" s="581">
        <f>Assumptions!D61</f>
        <v>183.761</v>
      </c>
      <c r="F9" s="56" t="s">
        <v>292</v>
      </c>
      <c r="G9" s="10">
        <f>'PDB_woody perennials'!K931</f>
        <v>2.2163548263888888E-2</v>
      </c>
      <c r="H9" s="80">
        <f>'PDB_woody perennials'!G931</f>
        <v>437.5</v>
      </c>
      <c r="I9" s="10">
        <f>'PDB_woody perennials'!J931</f>
        <v>1561.2933118053841</v>
      </c>
      <c r="J9" s="10">
        <f>I9-P9</f>
        <v>1391.093311805384</v>
      </c>
      <c r="K9" s="10">
        <f>Assumptions!$E$16</f>
        <v>0.5</v>
      </c>
      <c r="L9" s="10">
        <f t="shared" ref="L9:L29" si="0">G9*J9*K9*44/12</f>
        <v>56.524533552248045</v>
      </c>
      <c r="M9" s="10">
        <f>L9</f>
        <v>56.524533552248045</v>
      </c>
      <c r="N9" s="10">
        <f>'PDB_woody perennials'!K828</f>
        <v>2.431E-3</v>
      </c>
      <c r="O9" s="80">
        <f>'PDB_woody perennials'!G828</f>
        <v>50</v>
      </c>
      <c r="P9" s="10">
        <f>'PDB_woody perennials'!J828</f>
        <v>170.2</v>
      </c>
      <c r="Q9" s="10">
        <f>P9-W9</f>
        <v>9.9311745806908505</v>
      </c>
      <c r="R9" s="10">
        <f>Assumptions!$E$16</f>
        <v>0.5</v>
      </c>
      <c r="S9" s="10">
        <f t="shared" ref="S9:S52" si="1">N9*Q9*R9*44/12</f>
        <v>4.4261589910375675E-2</v>
      </c>
      <c r="T9" s="10">
        <f>S9</f>
        <v>4.4261589910375675E-2</v>
      </c>
      <c r="U9" s="10">
        <f>'PDB_woody perennials'!K725</f>
        <v>2.301720005404009E-3</v>
      </c>
      <c r="V9" s="80">
        <f>'PDB_woody perennials'!G725</f>
        <v>48.859082666666666</v>
      </c>
      <c r="W9" s="58">
        <f>'PDB_woody perennials'!J725</f>
        <v>160.26882541930914</v>
      </c>
      <c r="X9" s="10">
        <f>W9-AD9</f>
        <v>9.3792649299793993</v>
      </c>
      <c r="Y9" s="10">
        <f>Assumptions!$E$16</f>
        <v>0.5</v>
      </c>
      <c r="Z9" s="10">
        <f t="shared" ref="Z9:Z52" si="2">U9*X9*Y9*44/12</f>
        <v>3.9578809829749331E-2</v>
      </c>
      <c r="AA9" s="10">
        <f>Z9</f>
        <v>3.9578809829749331E-2</v>
      </c>
      <c r="AB9" s="10">
        <f>'PDB_woody perennials'!K622</f>
        <v>2.1796509733263735E-3</v>
      </c>
      <c r="AC9" s="80">
        <f>'PDB_woody perennials'!G622</f>
        <v>47.979619178666667</v>
      </c>
      <c r="AD9" s="58">
        <f>'PDB_woody perennials'!J622</f>
        <v>150.88956048932974</v>
      </c>
      <c r="AE9" s="10">
        <f>AD9-AK9</f>
        <v>7.867536297890581</v>
      </c>
      <c r="AF9" s="10">
        <f>Assumptions!$E$16</f>
        <v>0.5</v>
      </c>
      <c r="AG9" s="10">
        <f t="shared" ref="AG9:AG52" si="3">AB9*AE9*AF9*44/12</f>
        <v>3.1438885773859261E-2</v>
      </c>
      <c r="AH9" s="10">
        <f>AG9</f>
        <v>3.1438885773859261E-2</v>
      </c>
      <c r="AI9" s="10">
        <f>'PDB_woody perennials'!K519</f>
        <v>2.0766927707038356E-3</v>
      </c>
      <c r="AJ9" s="80">
        <f>'PDB_woody perennials'!G519</f>
        <v>47.211945271807998</v>
      </c>
      <c r="AK9" s="58">
        <f>'PDB_woody perennials'!J519</f>
        <v>143.02202419143916</v>
      </c>
      <c r="AL9" s="10">
        <f>AK9-'BR_woody perennials'!AH9</f>
        <v>7.2196043869957975</v>
      </c>
      <c r="AM9" s="10">
        <f>Assumptions!$E$16</f>
        <v>0.5</v>
      </c>
      <c r="AN9" s="10">
        <f t="shared" ref="AN9:AN93" si="4">AI9*AL9*AM9*44/12</f>
        <v>2.7486983769329093E-2</v>
      </c>
      <c r="AO9" s="10">
        <f>AN9</f>
        <v>2.7486983769329093E-2</v>
      </c>
    </row>
    <row r="10" spans="1:41" x14ac:dyDescent="0.2">
      <c r="A10" s="516"/>
      <c r="B10" s="516"/>
      <c r="C10" s="516"/>
      <c r="D10" s="516"/>
      <c r="E10" s="518"/>
      <c r="F10" s="56" t="s">
        <v>293</v>
      </c>
      <c r="G10" s="10">
        <v>0</v>
      </c>
      <c r="H10" s="80">
        <v>0</v>
      </c>
      <c r="I10" s="10">
        <v>0</v>
      </c>
      <c r="J10" s="10">
        <f>I10-P10</f>
        <v>-172.9</v>
      </c>
      <c r="K10" s="10">
        <f>Assumptions!$E$16</f>
        <v>0.5</v>
      </c>
      <c r="L10" s="10">
        <f t="shared" si="0"/>
        <v>0</v>
      </c>
      <c r="M10" s="10">
        <f t="shared" ref="M10:M18" si="5">L10</f>
        <v>0</v>
      </c>
      <c r="N10" s="10">
        <f>'PDB_woody perennials'!K829</f>
        <v>2.7060000000000001E-3</v>
      </c>
      <c r="O10" s="80">
        <f>'PDB_woody perennials'!G829</f>
        <v>98</v>
      </c>
      <c r="P10" s="10">
        <f>'PDB_woody perennials'!J829</f>
        <v>172.9</v>
      </c>
      <c r="Q10" s="10">
        <f t="shared" ref="Q10:Q95" si="6">P10-W10</f>
        <v>10.09734775532911</v>
      </c>
      <c r="R10" s="10">
        <f>Assumptions!$E$16</f>
        <v>0.5</v>
      </c>
      <c r="S10" s="10">
        <f t="shared" si="1"/>
        <v>5.0092942214187718E-2</v>
      </c>
      <c r="T10" s="10">
        <f t="shared" ref="T10:T95" si="7">S10</f>
        <v>5.0092942214187718E-2</v>
      </c>
      <c r="U10" s="10">
        <f>'PDB_woody perennials'!K726</f>
        <v>2.5624371600269937E-3</v>
      </c>
      <c r="V10" s="80">
        <f>'PDB_woody perennials'!G726</f>
        <v>96.432400000000001</v>
      </c>
      <c r="W10" s="58">
        <f>'PDB_woody perennials'!J726</f>
        <v>162.8026522446709</v>
      </c>
      <c r="X10" s="10">
        <f t="shared" ref="X10:X94" si="8">W10-AD10</f>
        <v>9.5275497446935731</v>
      </c>
      <c r="Y10" s="10">
        <f>Assumptions!$E$16</f>
        <v>0.5</v>
      </c>
      <c r="Z10" s="10">
        <f t="shared" si="2"/>
        <v>4.4758537101315603E-2</v>
      </c>
      <c r="AA10" s="10">
        <f t="shared" ref="AA10:AA95" si="9">Z10</f>
        <v>4.4758537101315603E-2</v>
      </c>
      <c r="AB10" s="10">
        <f>'PDB_woody perennials'!K623</f>
        <v>2.4265412981715651E-3</v>
      </c>
      <c r="AC10" s="80">
        <f>'PDB_woody perennials'!G623</f>
        <v>94.696616800000001</v>
      </c>
      <c r="AD10" s="58">
        <f>'PDB_woody perennials'!J623</f>
        <v>153.27510249997732</v>
      </c>
      <c r="AE10" s="10">
        <f t="shared" ref="AE10:AE94" si="10">AD10-AK10</f>
        <v>7.9919209027499392</v>
      </c>
      <c r="AF10" s="10">
        <f>Assumptions!$E$16</f>
        <v>0.5</v>
      </c>
      <c r="AG10" s="10">
        <f t="shared" si="3"/>
        <v>3.5553331224112729E-2</v>
      </c>
      <c r="AH10" s="10">
        <f t="shared" ref="AH10:AH95" si="11">AG10</f>
        <v>3.5553331224112729E-2</v>
      </c>
      <c r="AI10" s="10">
        <f>'PDB_woody perennials'!K520</f>
        <v>2.3119209604631681E-3</v>
      </c>
      <c r="AJ10" s="80">
        <f>'PDB_woody perennials'!G520</f>
        <v>93.181470931199996</v>
      </c>
      <c r="AK10" s="58">
        <f>'PDB_woody perennials'!J520</f>
        <v>145.28318159722738</v>
      </c>
      <c r="AL10" s="10">
        <f>AK10-'BR_woody perennials'!AH10</f>
        <v>7.3337452825598177</v>
      </c>
      <c r="AM10" s="10">
        <f>Assumptions!$E$16</f>
        <v>0.5</v>
      </c>
      <c r="AN10" s="10">
        <f t="shared" si="4"/>
        <v>3.1084238968654528E-2</v>
      </c>
      <c r="AO10" s="10">
        <f t="shared" ref="AO10:AO94" si="12">AN10</f>
        <v>3.1084238968654528E-2</v>
      </c>
    </row>
    <row r="11" spans="1:41" x14ac:dyDescent="0.2">
      <c r="A11" s="516"/>
      <c r="B11" s="516"/>
      <c r="C11" s="516"/>
      <c r="D11" s="516"/>
      <c r="E11" s="518"/>
      <c r="F11" s="10" t="s">
        <v>368</v>
      </c>
      <c r="G11" s="10">
        <f>'PDB_woody perennials'!K935</f>
        <v>9.2325812500000009E-4</v>
      </c>
      <c r="H11" s="80">
        <f>'PDB_woody perennials'!G935</f>
        <v>12.5</v>
      </c>
      <c r="I11" s="10">
        <f>'PDB_woody perennials'!J935</f>
        <v>69.082596225468308</v>
      </c>
      <c r="J11" s="10">
        <f t="shared" ref="J11:J18" si="13">I11-P11</f>
        <v>69.082596225468308</v>
      </c>
      <c r="K11" s="10">
        <f>Assumptions!$E$16</f>
        <v>0.5</v>
      </c>
      <c r="L11" s="10">
        <f t="shared" si="0"/>
        <v>0.11693195847897292</v>
      </c>
      <c r="M11" s="10">
        <f t="shared" si="5"/>
        <v>0.11693195847897292</v>
      </c>
      <c r="N11" s="10"/>
      <c r="O11" s="76">
        <v>0</v>
      </c>
      <c r="P11" s="10"/>
      <c r="Q11" s="10"/>
      <c r="R11" s="10">
        <f>Assumptions!$E$16</f>
        <v>0.5</v>
      </c>
      <c r="S11" s="10"/>
      <c r="T11" s="10"/>
      <c r="U11" s="10"/>
      <c r="V11" s="76"/>
      <c r="W11" s="58"/>
      <c r="X11" s="10"/>
      <c r="Y11" s="10">
        <f>Assumptions!$E$16</f>
        <v>0.5</v>
      </c>
      <c r="Z11" s="10"/>
      <c r="AA11" s="10"/>
      <c r="AB11" s="10"/>
      <c r="AC11" s="76"/>
      <c r="AD11" s="58"/>
      <c r="AE11" s="10"/>
      <c r="AF11" s="10">
        <f>Assumptions!$E$16</f>
        <v>0.5</v>
      </c>
      <c r="AG11" s="10"/>
      <c r="AH11" s="10"/>
      <c r="AI11" s="10"/>
      <c r="AJ11" s="76"/>
      <c r="AK11" s="58"/>
      <c r="AL11" s="10"/>
      <c r="AM11" s="10">
        <f>Assumptions!$E$16</f>
        <v>0.5</v>
      </c>
      <c r="AN11" s="10"/>
      <c r="AO11" s="10"/>
    </row>
    <row r="12" spans="1:41" x14ac:dyDescent="0.2">
      <c r="A12" s="516"/>
      <c r="B12" s="516"/>
      <c r="C12" s="516"/>
      <c r="D12" s="516"/>
      <c r="E12" s="518"/>
      <c r="F12" s="10" t="s">
        <v>172</v>
      </c>
      <c r="G12" s="10">
        <f>'PDB_woody perennials'!K936</f>
        <v>7.0068118750000003E-3</v>
      </c>
      <c r="H12" s="80">
        <f>'PDB_woody perennials'!G936</f>
        <v>87.5</v>
      </c>
      <c r="I12" s="10">
        <f>'PDB_woody perennials'!J936</f>
        <v>531.10679070118431</v>
      </c>
      <c r="J12" s="10">
        <f t="shared" si="13"/>
        <v>531.10679070118431</v>
      </c>
      <c r="K12" s="10">
        <f>Assumptions!$E$16</f>
        <v>0.5</v>
      </c>
      <c r="L12" s="10">
        <f t="shared" si="0"/>
        <v>6.8225031746266964</v>
      </c>
      <c r="M12" s="10">
        <f t="shared" si="5"/>
        <v>6.8225031746266964</v>
      </c>
      <c r="N12" s="10"/>
      <c r="O12" s="76">
        <v>0</v>
      </c>
      <c r="P12" s="10"/>
      <c r="Q12" s="10"/>
      <c r="R12" s="10">
        <f>Assumptions!$E$16</f>
        <v>0.5</v>
      </c>
      <c r="S12" s="10"/>
      <c r="T12" s="10"/>
      <c r="U12" s="10"/>
      <c r="V12" s="76"/>
      <c r="W12" s="58"/>
      <c r="X12" s="10"/>
      <c r="Y12" s="10">
        <f>Assumptions!$E$16</f>
        <v>0.5</v>
      </c>
      <c r="Z12" s="10"/>
      <c r="AA12" s="10"/>
      <c r="AB12" s="10"/>
      <c r="AC12" s="76"/>
      <c r="AD12" s="58"/>
      <c r="AE12" s="10"/>
      <c r="AF12" s="10">
        <f>Assumptions!$E$16</f>
        <v>0.5</v>
      </c>
      <c r="AG12" s="10"/>
      <c r="AH12" s="10"/>
      <c r="AI12" s="10"/>
      <c r="AJ12" s="76"/>
      <c r="AK12" s="58"/>
      <c r="AL12" s="10"/>
      <c r="AM12" s="10">
        <f>Assumptions!$E$16</f>
        <v>0.5</v>
      </c>
      <c r="AN12" s="10"/>
      <c r="AO12" s="10"/>
    </row>
    <row r="13" spans="1:41" x14ac:dyDescent="0.2">
      <c r="A13" s="516"/>
      <c r="B13" s="516"/>
      <c r="C13" s="516"/>
      <c r="D13" s="516"/>
      <c r="E13" s="518"/>
      <c r="F13" s="10" t="s">
        <v>369</v>
      </c>
      <c r="G13" s="10">
        <f>'PDB_woody perennials'!K937</f>
        <v>5.2889375000000011E-3</v>
      </c>
      <c r="H13" s="80">
        <f>'PDB_woody perennials'!G937</f>
        <v>137.5</v>
      </c>
      <c r="I13" s="10">
        <f>'PDB_woody perennials'!J937</f>
        <v>356.51545811261593</v>
      </c>
      <c r="J13" s="10">
        <f t="shared" si="13"/>
        <v>356.51545811261593</v>
      </c>
      <c r="K13" s="10">
        <f>Assumptions!$E$16</f>
        <v>0.5</v>
      </c>
      <c r="L13" s="10">
        <f t="shared" si="0"/>
        <v>3.4569112888594056</v>
      </c>
      <c r="M13" s="10">
        <f t="shared" si="5"/>
        <v>3.4569112888594056</v>
      </c>
      <c r="N13" s="10"/>
      <c r="O13" s="76">
        <v>0</v>
      </c>
      <c r="P13" s="10"/>
      <c r="Q13" s="10"/>
      <c r="R13" s="10">
        <f>Assumptions!$E$16</f>
        <v>0.5</v>
      </c>
      <c r="S13" s="10"/>
      <c r="T13" s="10"/>
      <c r="U13" s="10"/>
      <c r="V13" s="76"/>
      <c r="W13" s="58"/>
      <c r="X13" s="10"/>
      <c r="Y13" s="10">
        <f>Assumptions!$E$16</f>
        <v>0.5</v>
      </c>
      <c r="Z13" s="10"/>
      <c r="AA13" s="10"/>
      <c r="AB13" s="10"/>
      <c r="AC13" s="76"/>
      <c r="AD13" s="58"/>
      <c r="AE13" s="10"/>
      <c r="AF13" s="10">
        <f>Assumptions!$E$16</f>
        <v>0.5</v>
      </c>
      <c r="AG13" s="10"/>
      <c r="AH13" s="10"/>
      <c r="AI13" s="10"/>
      <c r="AJ13" s="76"/>
      <c r="AK13" s="58"/>
      <c r="AL13" s="10"/>
      <c r="AM13" s="10">
        <f>Assumptions!$E$16</f>
        <v>0.5</v>
      </c>
      <c r="AN13" s="10"/>
      <c r="AO13" s="10"/>
    </row>
    <row r="14" spans="1:41" x14ac:dyDescent="0.2">
      <c r="A14" s="516"/>
      <c r="B14" s="516"/>
      <c r="C14" s="516"/>
      <c r="D14" s="516"/>
      <c r="E14" s="518"/>
      <c r="F14" s="10" t="s">
        <v>189</v>
      </c>
      <c r="G14" s="10">
        <f>'PDB_woody perennials'!K938</f>
        <v>6.2800000000000009E-4</v>
      </c>
      <c r="H14" s="80">
        <f>'PDB_woody perennials'!G938</f>
        <v>12.5</v>
      </c>
      <c r="I14" s="10">
        <f>'PDB_woody perennials'!J938</f>
        <v>44.180130763165714</v>
      </c>
      <c r="J14" s="10">
        <f t="shared" si="13"/>
        <v>44.180130763165714</v>
      </c>
      <c r="K14" s="10">
        <f>Assumptions!$E$16</f>
        <v>0.5</v>
      </c>
      <c r="L14" s="10">
        <f t="shared" si="0"/>
        <v>5.0866057218658133E-2</v>
      </c>
      <c r="M14" s="10">
        <f t="shared" si="5"/>
        <v>5.0866057218658133E-2</v>
      </c>
      <c r="N14" s="10"/>
      <c r="O14" s="76">
        <v>0</v>
      </c>
      <c r="P14" s="10"/>
      <c r="Q14" s="10"/>
      <c r="R14" s="10">
        <f>Assumptions!$E$16</f>
        <v>0.5</v>
      </c>
      <c r="S14" s="10"/>
      <c r="T14" s="10"/>
      <c r="U14" s="10"/>
      <c r="V14" s="76"/>
      <c r="W14" s="58"/>
      <c r="X14" s="10"/>
      <c r="Y14" s="10">
        <f>Assumptions!$E$16</f>
        <v>0.5</v>
      </c>
      <c r="Z14" s="10"/>
      <c r="AA14" s="10"/>
      <c r="AB14" s="10"/>
      <c r="AC14" s="76"/>
      <c r="AD14" s="58"/>
      <c r="AE14" s="10"/>
      <c r="AF14" s="10">
        <f>Assumptions!$E$16</f>
        <v>0.5</v>
      </c>
      <c r="AG14" s="10"/>
      <c r="AH14" s="10"/>
      <c r="AI14" s="10"/>
      <c r="AJ14" s="76"/>
      <c r="AK14" s="58"/>
      <c r="AL14" s="10"/>
      <c r="AM14" s="10">
        <f>Assumptions!$E$16</f>
        <v>0.5</v>
      </c>
      <c r="AN14" s="10"/>
      <c r="AO14" s="10"/>
    </row>
    <row r="15" spans="1:41" x14ac:dyDescent="0.2">
      <c r="A15" s="516"/>
      <c r="B15" s="516"/>
      <c r="C15" s="516"/>
      <c r="D15" s="516"/>
      <c r="E15" s="518"/>
      <c r="F15" s="10" t="s">
        <v>188</v>
      </c>
      <c r="G15" s="10">
        <f>'PDB_woody perennials'!K939</f>
        <v>5.8899531250000007E-3</v>
      </c>
      <c r="H15" s="80">
        <f>'PDB_woody perennials'!G939</f>
        <v>12.5</v>
      </c>
      <c r="I15" s="10">
        <f>'PDB_woody perennials'!J939</f>
        <v>592.82094980836564</v>
      </c>
      <c r="J15" s="10">
        <f t="shared" si="13"/>
        <v>592.82094980836564</v>
      </c>
      <c r="K15" s="10">
        <f>Assumptions!$E$16</f>
        <v>0.5</v>
      </c>
      <c r="L15" s="10">
        <f t="shared" si="0"/>
        <v>6.4014272774636289</v>
      </c>
      <c r="M15" s="10">
        <f t="shared" si="5"/>
        <v>6.4014272774636289</v>
      </c>
      <c r="N15" s="10"/>
      <c r="O15" s="76">
        <v>0</v>
      </c>
      <c r="P15" s="10"/>
      <c r="Q15" s="10"/>
      <c r="R15" s="10">
        <f>Assumptions!$E$16</f>
        <v>0.5</v>
      </c>
      <c r="S15" s="10"/>
      <c r="T15" s="10"/>
      <c r="U15" s="10"/>
      <c r="V15" s="76"/>
      <c r="W15" s="58"/>
      <c r="X15" s="10"/>
      <c r="Y15" s="10">
        <f>Assumptions!$E$16</f>
        <v>0.5</v>
      </c>
      <c r="Z15" s="10"/>
      <c r="AA15" s="10"/>
      <c r="AB15" s="10"/>
      <c r="AC15" s="76"/>
      <c r="AD15" s="58"/>
      <c r="AE15" s="10"/>
      <c r="AF15" s="10">
        <f>Assumptions!$E$16</f>
        <v>0.5</v>
      </c>
      <c r="AG15" s="10"/>
      <c r="AH15" s="10"/>
      <c r="AI15" s="10"/>
      <c r="AJ15" s="76"/>
      <c r="AK15" s="58"/>
      <c r="AL15" s="10"/>
      <c r="AM15" s="10">
        <f>Assumptions!$E$16</f>
        <v>0.5</v>
      </c>
      <c r="AN15" s="10"/>
      <c r="AO15" s="10"/>
    </row>
    <row r="16" spans="1:41" x14ac:dyDescent="0.2">
      <c r="A16" s="516"/>
      <c r="B16" s="516"/>
      <c r="C16" s="516"/>
      <c r="D16" s="516"/>
      <c r="E16" s="518"/>
      <c r="F16" s="10" t="s">
        <v>370</v>
      </c>
      <c r="G16" s="10">
        <f>'PDB_woody perennials'!K940</f>
        <v>2.5954062500000005E-3</v>
      </c>
      <c r="H16" s="80">
        <f>'PDB_woody perennials'!G940</f>
        <v>25</v>
      </c>
      <c r="I16" s="10">
        <f>'PDB_woody perennials'!J940</f>
        <v>205.07239921432478</v>
      </c>
      <c r="J16" s="10">
        <f t="shared" si="13"/>
        <v>205.07239921432478</v>
      </c>
      <c r="K16" s="10">
        <f>Assumptions!$E$16</f>
        <v>0.5</v>
      </c>
      <c r="L16" s="10">
        <f t="shared" si="0"/>
        <v>0.97578467547614867</v>
      </c>
      <c r="M16" s="10">
        <f t="shared" si="5"/>
        <v>0.97578467547614867</v>
      </c>
      <c r="N16" s="10"/>
      <c r="O16" s="76">
        <v>0</v>
      </c>
      <c r="P16" s="10"/>
      <c r="Q16" s="10"/>
      <c r="R16" s="10">
        <f>Assumptions!$E$16</f>
        <v>0.5</v>
      </c>
      <c r="S16" s="10"/>
      <c r="T16" s="10"/>
      <c r="U16" s="10"/>
      <c r="V16" s="76"/>
      <c r="W16" s="58"/>
      <c r="X16" s="10"/>
      <c r="Y16" s="10">
        <f>Assumptions!$E$16</f>
        <v>0.5</v>
      </c>
      <c r="Z16" s="10"/>
      <c r="AA16" s="10"/>
      <c r="AB16" s="10"/>
      <c r="AC16" s="76"/>
      <c r="AD16" s="58"/>
      <c r="AE16" s="10"/>
      <c r="AF16" s="10">
        <f>Assumptions!$E$16</f>
        <v>0.5</v>
      </c>
      <c r="AG16" s="10"/>
      <c r="AH16" s="10"/>
      <c r="AI16" s="10"/>
      <c r="AJ16" s="76"/>
      <c r="AK16" s="58"/>
      <c r="AL16" s="10"/>
      <c r="AM16" s="10">
        <f>Assumptions!$E$16</f>
        <v>0.5</v>
      </c>
      <c r="AN16" s="10"/>
      <c r="AO16" s="10"/>
    </row>
    <row r="17" spans="1:41" x14ac:dyDescent="0.2">
      <c r="A17" s="516"/>
      <c r="B17" s="516"/>
      <c r="C17" s="516"/>
      <c r="D17" s="516"/>
      <c r="E17" s="518"/>
      <c r="F17" s="10" t="s">
        <v>371</v>
      </c>
      <c r="G17" s="10">
        <f>'PDB_woody perennials'!K941</f>
        <v>5.0868000000000007E-4</v>
      </c>
      <c r="H17" s="80">
        <f>'PDB_woody perennials'!G941</f>
        <v>12.5</v>
      </c>
      <c r="I17" s="10">
        <f>'PDB_woody perennials'!J941</f>
        <v>34.599483750388565</v>
      </c>
      <c r="J17" s="10">
        <f t="shared" si="13"/>
        <v>34.599483750388565</v>
      </c>
      <c r="K17" s="10">
        <f>Assumptions!$E$16</f>
        <v>0.5</v>
      </c>
      <c r="L17" s="10">
        <f t="shared" si="0"/>
        <v>3.2266786555937371E-2</v>
      </c>
      <c r="M17" s="10">
        <f t="shared" si="5"/>
        <v>3.2266786555937371E-2</v>
      </c>
      <c r="N17" s="10"/>
      <c r="O17" s="76">
        <v>0</v>
      </c>
      <c r="P17" s="10"/>
      <c r="Q17" s="10"/>
      <c r="R17" s="10">
        <f>Assumptions!$E$16</f>
        <v>0.5</v>
      </c>
      <c r="S17" s="10"/>
      <c r="T17" s="10"/>
      <c r="U17" s="10"/>
      <c r="V17" s="76"/>
      <c r="W17" s="58"/>
      <c r="X17" s="10"/>
      <c r="Y17" s="10">
        <f>Assumptions!$E$16</f>
        <v>0.5</v>
      </c>
      <c r="Z17" s="10"/>
      <c r="AA17" s="10"/>
      <c r="AB17" s="10"/>
      <c r="AC17" s="76"/>
      <c r="AD17" s="58"/>
      <c r="AE17" s="10"/>
      <c r="AF17" s="10">
        <f>Assumptions!$E$16</f>
        <v>0.5</v>
      </c>
      <c r="AG17" s="10"/>
      <c r="AH17" s="10"/>
      <c r="AI17" s="10"/>
      <c r="AJ17" s="76"/>
      <c r="AK17" s="58"/>
      <c r="AL17" s="10"/>
      <c r="AM17" s="10">
        <f>Assumptions!$E$16</f>
        <v>0.5</v>
      </c>
      <c r="AN17" s="10"/>
      <c r="AO17" s="10"/>
    </row>
    <row r="18" spans="1:41" x14ac:dyDescent="0.2">
      <c r="A18" s="516"/>
      <c r="B18" s="516"/>
      <c r="C18" s="516"/>
      <c r="D18" s="516"/>
      <c r="E18" s="518"/>
      <c r="F18" s="10" t="s">
        <v>320</v>
      </c>
      <c r="G18" s="10">
        <f>'PDB_woody perennials'!K942</f>
        <v>9.4298125000000007E-3</v>
      </c>
      <c r="H18" s="80">
        <f>'PDB_woody perennials'!G942</f>
        <v>12.5</v>
      </c>
      <c r="I18" s="10">
        <f>'PDB_woody perennials'!J942</f>
        <v>1023.3338895813698</v>
      </c>
      <c r="J18" s="10">
        <f t="shared" si="13"/>
        <v>1023.3338895813698</v>
      </c>
      <c r="K18" s="10">
        <f>Assumptions!$E$16</f>
        <v>0.5</v>
      </c>
      <c r="L18" s="10">
        <f t="shared" si="0"/>
        <v>17.691385623354709</v>
      </c>
      <c r="M18" s="10">
        <f t="shared" si="5"/>
        <v>17.691385623354709</v>
      </c>
      <c r="N18" s="10"/>
      <c r="O18" s="76">
        <v>0</v>
      </c>
      <c r="P18" s="10"/>
      <c r="Q18" s="10"/>
      <c r="R18" s="10">
        <f>Assumptions!$E$16</f>
        <v>0.5</v>
      </c>
      <c r="S18" s="10"/>
      <c r="T18" s="10"/>
      <c r="U18" s="10"/>
      <c r="V18" s="76"/>
      <c r="W18" s="58"/>
      <c r="X18" s="10"/>
      <c r="Y18" s="10">
        <f>Assumptions!$E$16</f>
        <v>0.5</v>
      </c>
      <c r="Z18" s="10"/>
      <c r="AA18" s="10"/>
      <c r="AB18" s="10"/>
      <c r="AC18" s="76"/>
      <c r="AD18" s="58"/>
      <c r="AE18" s="10"/>
      <c r="AF18" s="10">
        <f>Assumptions!$E$16</f>
        <v>0.5</v>
      </c>
      <c r="AG18" s="10"/>
      <c r="AH18" s="10"/>
      <c r="AI18" s="10"/>
      <c r="AJ18" s="76"/>
      <c r="AK18" s="58"/>
      <c r="AL18" s="10"/>
      <c r="AM18" s="10">
        <f>Assumptions!$E$16</f>
        <v>0.5</v>
      </c>
      <c r="AN18" s="10"/>
      <c r="AO18" s="10"/>
    </row>
    <row r="19" spans="1:41" x14ac:dyDescent="0.2">
      <c r="A19" s="516"/>
      <c r="B19" s="516"/>
      <c r="C19" s="516"/>
      <c r="D19" s="516"/>
      <c r="E19" s="518"/>
      <c r="F19" s="56" t="s">
        <v>294</v>
      </c>
      <c r="G19" s="10">
        <v>0</v>
      </c>
      <c r="H19" s="80">
        <v>0</v>
      </c>
      <c r="I19" s="10"/>
      <c r="J19" s="10">
        <f t="shared" ref="J19:J96" si="14">I19-P19</f>
        <v>-1204</v>
      </c>
      <c r="K19" s="10">
        <f>Assumptions!$E$16</f>
        <v>0.5</v>
      </c>
      <c r="L19" s="10">
        <f t="shared" si="0"/>
        <v>0</v>
      </c>
      <c r="M19" s="10">
        <f t="shared" ref="M19:M29" si="15">L19</f>
        <v>0</v>
      </c>
      <c r="N19" s="10">
        <f>'PDB_woody perennials'!K830</f>
        <v>1.9369000000000001E-2</v>
      </c>
      <c r="O19" s="80">
        <f>'PDB_woody perennials'!G830</f>
        <v>836</v>
      </c>
      <c r="P19" s="10">
        <f>'PDB_woody perennials'!J830</f>
        <v>1204</v>
      </c>
      <c r="Q19" s="10">
        <f t="shared" si="6"/>
        <v>70.484387116655853</v>
      </c>
      <c r="R19" s="10">
        <f>Assumptions!$E$16</f>
        <v>0.5</v>
      </c>
      <c r="S19" s="10">
        <f t="shared" si="1"/>
        <v>2.5028888391145965</v>
      </c>
      <c r="T19" s="10">
        <f t="shared" si="7"/>
        <v>2.5028888391145965</v>
      </c>
      <c r="U19" s="10">
        <f>'PDB_woody perennials'!K727</f>
        <v>1.8341793944882619E-2</v>
      </c>
      <c r="V19" s="80">
        <f>'PDB_woody perennials'!G727</f>
        <v>820.639724</v>
      </c>
      <c r="W19" s="58">
        <f>'PDB_woody perennials'!J727</f>
        <v>1133.5156128833441</v>
      </c>
      <c r="X19" s="10">
        <f t="shared" si="8"/>
        <v>66.335690722670051</v>
      </c>
      <c r="Y19" s="10">
        <f>Assumptions!$E$16</f>
        <v>0.5</v>
      </c>
      <c r="Z19" s="10">
        <f t="shared" si="2"/>
        <v>2.2306452124489051</v>
      </c>
      <c r="AA19" s="10">
        <f t="shared" si="9"/>
        <v>2.2306452124489051</v>
      </c>
      <c r="AB19" s="10">
        <f>'PDB_woody perennials'!K624</f>
        <v>1.7369058326231101E-2</v>
      </c>
      <c r="AC19" s="80">
        <f>'PDB_woody perennials'!G624</f>
        <v>805.86820896799998</v>
      </c>
      <c r="AD19" s="58">
        <f>'PDB_woody perennials'!J624</f>
        <v>1067.1799221606741</v>
      </c>
      <c r="AE19" s="10">
        <f t="shared" si="10"/>
        <v>55.643854662648209</v>
      </c>
      <c r="AF19" s="10">
        <f>Assumptions!$E$16</f>
        <v>0.5</v>
      </c>
      <c r="AG19" s="10">
        <f t="shared" si="3"/>
        <v>1.7718824880750823</v>
      </c>
      <c r="AH19" s="10">
        <f t="shared" si="11"/>
        <v>1.7718824880750823</v>
      </c>
      <c r="AI19" s="10">
        <f>'PDB_woody perennials'!K521</f>
        <v>1.6548611819703653E-2</v>
      </c>
      <c r="AJ19" s="80">
        <f>'PDB_woody perennials'!G521</f>
        <v>792.97431762451197</v>
      </c>
      <c r="AK19" s="58">
        <f>'PDB_woody perennials'!J521</f>
        <v>1011.5360674980259</v>
      </c>
      <c r="AL19" s="10">
        <f>AK19-'BR_woody perennials'!AH11</f>
        <v>51.06129822871435</v>
      </c>
      <c r="AM19" s="10">
        <f>Assumptions!$E$16</f>
        <v>0.5</v>
      </c>
      <c r="AN19" s="10">
        <f t="shared" si="4"/>
        <v>1.5491549395613784</v>
      </c>
      <c r="AO19" s="10">
        <f t="shared" si="12"/>
        <v>1.5491549395613784</v>
      </c>
    </row>
    <row r="20" spans="1:41" x14ac:dyDescent="0.2">
      <c r="A20" s="516"/>
      <c r="B20" s="516"/>
      <c r="C20" s="516"/>
      <c r="D20" s="516"/>
      <c r="E20" s="518"/>
      <c r="F20" s="56" t="s">
        <v>295</v>
      </c>
      <c r="G20" s="10">
        <v>0</v>
      </c>
      <c r="H20" s="80">
        <v>0</v>
      </c>
      <c r="I20" s="10"/>
      <c r="J20" s="10">
        <f t="shared" si="14"/>
        <v>-726.1</v>
      </c>
      <c r="K20" s="10">
        <f>Assumptions!$E$16</f>
        <v>0.5</v>
      </c>
      <c r="L20" s="10">
        <f t="shared" si="0"/>
        <v>0</v>
      </c>
      <c r="M20" s="10">
        <f t="shared" si="15"/>
        <v>0</v>
      </c>
      <c r="N20" s="10">
        <f>'PDB_woody perennials'!K831</f>
        <v>1.0259000000000001E-2</v>
      </c>
      <c r="O20" s="80">
        <f>'PDB_woody perennials'!G831</f>
        <v>197</v>
      </c>
      <c r="P20" s="10">
        <f>'PDB_woody perennials'!J831</f>
        <v>726.1</v>
      </c>
      <c r="Q20" s="10">
        <f t="shared" si="6"/>
        <v>42.530172915892081</v>
      </c>
      <c r="R20" s="10">
        <f>Assumptions!$E$16</f>
        <v>0.5</v>
      </c>
      <c r="S20" s="10">
        <f t="shared" si="1"/>
        <v>0.79991458056425102</v>
      </c>
      <c r="T20" s="10">
        <f t="shared" si="7"/>
        <v>0.79991458056425102</v>
      </c>
      <c r="U20" s="10">
        <f>'PDB_woody perennials'!K728</f>
        <v>9.7151158879622123E-3</v>
      </c>
      <c r="V20" s="80">
        <f>'PDB_woody perennials'!G728</f>
        <v>193.18624133333336</v>
      </c>
      <c r="W20" s="58">
        <f>'PDB_woody perennials'!J728</f>
        <v>683.56982708410794</v>
      </c>
      <c r="X20" s="10">
        <f t="shared" si="8"/>
        <v>40.003927710757466</v>
      </c>
      <c r="Y20" s="10">
        <f>Assumptions!$E$16</f>
        <v>0.5</v>
      </c>
      <c r="Z20" s="10">
        <f t="shared" si="2"/>
        <v>0.7125117884200648</v>
      </c>
      <c r="AA20" s="10">
        <f t="shared" si="9"/>
        <v>0.7125117884200648</v>
      </c>
      <c r="AB20" s="10">
        <f>'PDB_woody perennials'!K625</f>
        <v>9.1998860640994939E-3</v>
      </c>
      <c r="AC20" s="80">
        <f>'PDB_woody perennials'!G625</f>
        <v>189.70888898933336</v>
      </c>
      <c r="AD20" s="58">
        <f>'PDB_woody perennials'!J625</f>
        <v>643.56589937335048</v>
      </c>
      <c r="AE20" s="10">
        <f t="shared" si="10"/>
        <v>33.556185444403127</v>
      </c>
      <c r="AF20" s="10">
        <f>Assumptions!$E$16</f>
        <v>0.5</v>
      </c>
      <c r="AG20" s="10">
        <f t="shared" si="3"/>
        <v>0.56597398519622144</v>
      </c>
      <c r="AH20" s="10">
        <f t="shared" si="11"/>
        <v>0.56597398519622144</v>
      </c>
      <c r="AI20" s="10">
        <f>'PDB_woody perennials'!K522</f>
        <v>8.7653193627866294E-3</v>
      </c>
      <c r="AJ20" s="80">
        <f>'PDB_woody perennials'!G522</f>
        <v>186.67354676550403</v>
      </c>
      <c r="AK20" s="58">
        <f>'PDB_woody perennials'!J522</f>
        <v>610.00971392894735</v>
      </c>
      <c r="AL20" s="10">
        <f>AK20-'BR_woody perennials'!AH12</f>
        <v>30.79266170150504</v>
      </c>
      <c r="AM20" s="10">
        <f>Assumptions!$E$16</f>
        <v>0.5</v>
      </c>
      <c r="AN20" s="10">
        <f t="shared" si="4"/>
        <v>0.49483044204722404</v>
      </c>
      <c r="AO20" s="10">
        <f t="shared" si="12"/>
        <v>0.49483044204722404</v>
      </c>
    </row>
    <row r="21" spans="1:41" x14ac:dyDescent="0.2">
      <c r="A21" s="516"/>
      <c r="B21" s="516"/>
      <c r="C21" s="516"/>
      <c r="D21" s="516"/>
      <c r="E21" s="518"/>
      <c r="F21" s="56" t="s">
        <v>296</v>
      </c>
      <c r="G21" s="10">
        <v>0</v>
      </c>
      <c r="H21" s="80">
        <v>0</v>
      </c>
      <c r="I21" s="10"/>
      <c r="J21" s="10">
        <f t="shared" si="14"/>
        <v>-383</v>
      </c>
      <c r="K21" s="10">
        <f>Assumptions!$E$16</f>
        <v>0.5</v>
      </c>
      <c r="L21" s="10">
        <f t="shared" si="0"/>
        <v>0</v>
      </c>
      <c r="M21" s="10">
        <f t="shared" si="15"/>
        <v>0</v>
      </c>
      <c r="N21" s="153">
        <f>'PDB_woody perennials'!K832</f>
        <v>5.3709999999999999E-3</v>
      </c>
      <c r="O21" s="80">
        <f>'PDB_woody perennials'!G832</f>
        <v>98</v>
      </c>
      <c r="P21" s="10">
        <f>'PDB_woody perennials'!J832</f>
        <v>383</v>
      </c>
      <c r="Q21" s="10">
        <f t="shared" si="6"/>
        <v>22.404418647579064</v>
      </c>
      <c r="R21" s="10">
        <f>Assumptions!$E$16</f>
        <v>0.5</v>
      </c>
      <c r="S21" s="10">
        <f t="shared" si="1"/>
        <v>0.22061257635293643</v>
      </c>
      <c r="T21" s="10">
        <f t="shared" si="7"/>
        <v>0.22061257635293643</v>
      </c>
      <c r="U21" s="10">
        <f>'PDB_woody perennials'!K729</f>
        <v>5.0860009258189686E-3</v>
      </c>
      <c r="V21" s="80">
        <f>'PDB_woody perennials'!G729</f>
        <v>96.432400000000001</v>
      </c>
      <c r="W21" s="58">
        <f>'PDB_woody perennials'!J729</f>
        <v>360.59558135242094</v>
      </c>
      <c r="X21" s="10">
        <f t="shared" si="8"/>
        <v>21.102803250949137</v>
      </c>
      <c r="Y21" s="10">
        <f>Assumptions!$E$16</f>
        <v>0.5</v>
      </c>
      <c r="Z21" s="10">
        <f t="shared" si="2"/>
        <v>0.1967696075981219</v>
      </c>
      <c r="AA21" s="10">
        <f t="shared" si="9"/>
        <v>0.1967696075981219</v>
      </c>
      <c r="AB21" s="10">
        <f>'PDB_woody perennials'!K626</f>
        <v>4.8162708071672403E-3</v>
      </c>
      <c r="AC21" s="80">
        <f>'PDB_woody perennials'!G626</f>
        <v>94.696616800000001</v>
      </c>
      <c r="AD21" s="58">
        <f>'PDB_woody perennials'!J626</f>
        <v>339.4927781014718</v>
      </c>
      <c r="AE21" s="10">
        <f t="shared" si="10"/>
        <v>17.701501322710271</v>
      </c>
      <c r="AF21" s="10">
        <f>Assumptions!$E$16</f>
        <v>0.5</v>
      </c>
      <c r="AG21" s="10">
        <f t="shared" si="3"/>
        <v>0.15630124411660323</v>
      </c>
      <c r="AH21" s="10">
        <f t="shared" si="11"/>
        <v>0.15630124411660323</v>
      </c>
      <c r="AI21" s="10">
        <f>'PDB_woody perennials'!K523</f>
        <v>4.5887689769578913E-3</v>
      </c>
      <c r="AJ21" s="80">
        <f>'PDB_woody perennials'!G523</f>
        <v>93.181470931199996</v>
      </c>
      <c r="AK21" s="58">
        <f>'PDB_woody perennials'!J523</f>
        <v>321.79127677876153</v>
      </c>
      <c r="AL21" s="10">
        <f>AK21-'BR_woody perennials'!AH13</f>
        <v>16.243692023400001</v>
      </c>
      <c r="AM21" s="10">
        <f>Assumptions!$E$16</f>
        <v>0.5</v>
      </c>
      <c r="AN21" s="10">
        <f t="shared" si="4"/>
        <v>0.13665400838509986</v>
      </c>
      <c r="AO21" s="10">
        <f t="shared" si="12"/>
        <v>0.13665400838509986</v>
      </c>
    </row>
    <row r="22" spans="1:41" x14ac:dyDescent="0.2">
      <c r="A22" s="516"/>
      <c r="B22" s="516"/>
      <c r="C22" s="516"/>
      <c r="D22" s="516"/>
      <c r="E22" s="518"/>
      <c r="F22" s="56" t="s">
        <v>297</v>
      </c>
      <c r="G22" s="10">
        <v>0</v>
      </c>
      <c r="H22" s="80">
        <v>0</v>
      </c>
      <c r="I22" s="10"/>
      <c r="J22" s="10">
        <f t="shared" si="14"/>
        <v>-126.7</v>
      </c>
      <c r="K22" s="10">
        <f>Assumptions!$E$16</f>
        <v>0.5</v>
      </c>
      <c r="L22" s="10">
        <f t="shared" si="0"/>
        <v>0</v>
      </c>
      <c r="M22" s="10">
        <f t="shared" si="15"/>
        <v>0</v>
      </c>
      <c r="N22" s="153">
        <f>'PDB_woody perennials'!K833</f>
        <v>1.879E-3</v>
      </c>
      <c r="O22" s="80">
        <f>'PDB_woody perennials'!G833</f>
        <v>49</v>
      </c>
      <c r="P22" s="10">
        <f>'PDB_woody perennials'!J833</f>
        <v>126.7</v>
      </c>
      <c r="Q22" s="10">
        <f t="shared" si="6"/>
        <v>7.4462210626857939</v>
      </c>
      <c r="R22" s="10">
        <f>Assumptions!$E$16</f>
        <v>0.5</v>
      </c>
      <c r="S22" s="10">
        <f t="shared" si="1"/>
        <v>2.5650990524108779E-2</v>
      </c>
      <c r="T22" s="10">
        <f t="shared" si="7"/>
        <v>2.5650990524108779E-2</v>
      </c>
      <c r="U22" s="10">
        <f>'PDB_woody perennials'!K730</f>
        <v>1.7790519677776246E-3</v>
      </c>
      <c r="V22" s="80">
        <f>'PDB_woody perennials'!G730</f>
        <v>47.894758666666668</v>
      </c>
      <c r="W22" s="58">
        <f>'PDB_woody perennials'!J730</f>
        <v>119.25377893731421</v>
      </c>
      <c r="X22" s="10">
        <f t="shared" si="8"/>
        <v>6.9789791222835333</v>
      </c>
      <c r="Y22" s="10">
        <f>Assumptions!$E$16</f>
        <v>0.5</v>
      </c>
      <c r="Z22" s="10">
        <f t="shared" si="2"/>
        <v>2.2762605324392046E-2</v>
      </c>
      <c r="AA22" s="10">
        <f t="shared" si="9"/>
        <v>2.2762605324392046E-2</v>
      </c>
      <c r="AB22" s="10">
        <f>'PDB_woody perennials'!K627</f>
        <v>1.6847020245992367E-3</v>
      </c>
      <c r="AC22" s="80">
        <f>'PDB_woody perennials'!G627</f>
        <v>47.032653010666671</v>
      </c>
      <c r="AD22" s="58">
        <f>'PDB_woody perennials'!J627</f>
        <v>112.27479981503068</v>
      </c>
      <c r="AE22" s="10">
        <f t="shared" si="10"/>
        <v>5.8541231084414136</v>
      </c>
      <c r="AF22" s="10">
        <f>Assumptions!$E$16</f>
        <v>0.5</v>
      </c>
      <c r="AG22" s="10">
        <f t="shared" si="3"/>
        <v>1.8081163930581449E-2</v>
      </c>
      <c r="AH22" s="10">
        <f t="shared" si="11"/>
        <v>1.8081163930581449E-2</v>
      </c>
      <c r="AI22" s="10">
        <f>'PDB_woody perennials'!K524</f>
        <v>1.6051232780338732E-3</v>
      </c>
      <c r="AJ22" s="80">
        <f>'PDB_woody perennials'!G524</f>
        <v>46.280130562496005</v>
      </c>
      <c r="AK22" s="58">
        <f>'PDB_woody perennials'!J524</f>
        <v>106.42067670658926</v>
      </c>
      <c r="AL22" s="10">
        <f>AK22-'BR_woody perennials'!AH14</f>
        <v>5.37200608620644</v>
      </c>
      <c r="AM22" s="10">
        <f>Assumptions!$E$16</f>
        <v>0.5</v>
      </c>
      <c r="AN22" s="10">
        <f t="shared" si="4"/>
        <v>1.580834203430093E-2</v>
      </c>
      <c r="AO22" s="10">
        <f t="shared" si="12"/>
        <v>1.580834203430093E-2</v>
      </c>
    </row>
    <row r="23" spans="1:41" x14ac:dyDescent="0.2">
      <c r="A23" s="516"/>
      <c r="B23" s="516"/>
      <c r="C23" s="516"/>
      <c r="D23" s="516"/>
      <c r="E23" s="518"/>
      <c r="F23" s="56" t="s">
        <v>298</v>
      </c>
      <c r="G23" s="10">
        <v>0</v>
      </c>
      <c r="H23" s="80">
        <v>0</v>
      </c>
      <c r="I23" s="10"/>
      <c r="J23" s="10">
        <f t="shared" si="14"/>
        <v>-184.2</v>
      </c>
      <c r="K23" s="10">
        <f>Assumptions!$E$16</f>
        <v>0.5</v>
      </c>
      <c r="L23" s="10">
        <f t="shared" si="0"/>
        <v>0</v>
      </c>
      <c r="M23" s="10">
        <f t="shared" si="15"/>
        <v>0</v>
      </c>
      <c r="N23" s="153">
        <f>'PDB_woody perennials'!K834</f>
        <v>2.8579999999999999E-3</v>
      </c>
      <c r="O23" s="80">
        <f>'PDB_woody perennials'!G834</f>
        <v>98</v>
      </c>
      <c r="P23" s="10">
        <f>'PDB_woody perennials'!J834</f>
        <v>184.2</v>
      </c>
      <c r="Q23" s="10">
        <f t="shared" si="6"/>
        <v>10.772799904101021</v>
      </c>
      <c r="R23" s="10">
        <f>Assumptions!$E$16</f>
        <v>0.5</v>
      </c>
      <c r="S23" s="10">
        <f t="shared" si="1"/>
        <v>5.6445880564187978E-2</v>
      </c>
      <c r="T23" s="10">
        <f t="shared" si="7"/>
        <v>5.6445880564187978E-2</v>
      </c>
      <c r="U23" s="10">
        <f>'PDB_woody perennials'!K731</f>
        <v>2.7059636759651372E-3</v>
      </c>
      <c r="V23" s="80">
        <f>'PDB_woody perennials'!G731</f>
        <v>96.432400000000001</v>
      </c>
      <c r="W23" s="58">
        <f>'PDB_woody perennials'!J731</f>
        <v>173.42720009589897</v>
      </c>
      <c r="X23" s="10">
        <f t="shared" si="8"/>
        <v>10.149320377860619</v>
      </c>
      <c r="Y23" s="10">
        <f>Assumptions!$E$16</f>
        <v>0.5</v>
      </c>
      <c r="Z23" s="10">
        <f t="shared" si="2"/>
        <v>5.0350102510076593E-2</v>
      </c>
      <c r="AA23" s="10">
        <f t="shared" si="9"/>
        <v>5.0350102510076593E-2</v>
      </c>
      <c r="AB23" s="10">
        <f>'PDB_woody perennials'!K628</f>
        <v>2.5624560529758996E-3</v>
      </c>
      <c r="AC23" s="80">
        <f>'PDB_woody perennials'!G628</f>
        <v>94.696616800000001</v>
      </c>
      <c r="AD23" s="58">
        <f>'PDB_woody perennials'!J628</f>
        <v>163.27787971803835</v>
      </c>
      <c r="AE23" s="10">
        <f t="shared" si="10"/>
        <v>8.5134759565763716</v>
      </c>
      <c r="AF23" s="10">
        <f>Assumptions!$E$16</f>
        <v>0.5</v>
      </c>
      <c r="AG23" s="10">
        <f t="shared" si="3"/>
        <v>3.9994914660788833E-2</v>
      </c>
      <c r="AH23" s="10">
        <f t="shared" si="11"/>
        <v>3.9994914660788833E-2</v>
      </c>
      <c r="AI23" s="10">
        <f>'PDB_woody perennials'!K525</f>
        <v>2.4414156328617488E-3</v>
      </c>
      <c r="AJ23" s="80">
        <f>'PDB_woody perennials'!G525</f>
        <v>93.181470931199996</v>
      </c>
      <c r="AK23" s="58">
        <f>'PDB_woody perennials'!J525</f>
        <v>154.76440376146198</v>
      </c>
      <c r="AL23" s="10">
        <f>AK23-'BR_woody perennials'!AH15</f>
        <v>7.8123476063482542</v>
      </c>
      <c r="AM23" s="10">
        <f>Assumptions!$E$16</f>
        <v>0.5</v>
      </c>
      <c r="AN23" s="10">
        <f t="shared" si="4"/>
        <v>3.4967510555062607E-2</v>
      </c>
      <c r="AO23" s="10">
        <f t="shared" si="12"/>
        <v>3.4967510555062607E-2</v>
      </c>
    </row>
    <row r="24" spans="1:41" x14ac:dyDescent="0.2">
      <c r="A24" s="516"/>
      <c r="B24" s="516"/>
      <c r="C24" s="516"/>
      <c r="D24" s="516"/>
      <c r="E24" s="518"/>
      <c r="F24" s="56" t="s">
        <v>299</v>
      </c>
      <c r="G24" s="10">
        <v>0</v>
      </c>
      <c r="H24" s="80">
        <v>0</v>
      </c>
      <c r="I24" s="10"/>
      <c r="J24" s="10">
        <f t="shared" si="14"/>
        <v>-76.3</v>
      </c>
      <c r="K24" s="10">
        <f>Assumptions!$E$16</f>
        <v>0.5</v>
      </c>
      <c r="L24" s="10">
        <f t="shared" si="0"/>
        <v>0</v>
      </c>
      <c r="M24" s="10">
        <f t="shared" si="15"/>
        <v>0</v>
      </c>
      <c r="N24" s="153">
        <f>'PDB_woody perennials'!K835</f>
        <v>1.2160000000000001E-3</v>
      </c>
      <c r="O24" s="80">
        <f>'PDB_woody perennials'!G835</f>
        <v>49</v>
      </c>
      <c r="P24" s="10">
        <f>'PDB_woody perennials'!J835</f>
        <v>76.3</v>
      </c>
      <c r="Q24" s="10">
        <f t="shared" si="6"/>
        <v>4.4786026008136304</v>
      </c>
      <c r="R24" s="10">
        <f>Assumptions!$E$16</f>
        <v>0.5</v>
      </c>
      <c r="S24" s="10">
        <f t="shared" si="1"/>
        <v>9.9842980647471876E-3</v>
      </c>
      <c r="T24" s="10">
        <f t="shared" si="7"/>
        <v>9.9842980647471876E-3</v>
      </c>
      <c r="U24" s="10">
        <f>'PDB_woody perennials'!K732</f>
        <v>1.1511819922518387E-3</v>
      </c>
      <c r="V24" s="80">
        <f>'PDB_woody perennials'!G732</f>
        <v>48.53764133333334</v>
      </c>
      <c r="W24" s="58">
        <f>'PDB_woody perennials'!J732</f>
        <v>71.821397399186367</v>
      </c>
      <c r="X24" s="10">
        <f t="shared" si="8"/>
        <v>4.2031375227583396</v>
      </c>
      <c r="Y24" s="10">
        <f>Assumptions!$E$16</f>
        <v>0.5</v>
      </c>
      <c r="Z24" s="10">
        <f t="shared" si="2"/>
        <v>8.8707230831219057E-3</v>
      </c>
      <c r="AA24" s="10">
        <f t="shared" si="9"/>
        <v>8.8707230831219057E-3</v>
      </c>
      <c r="AB24" s="10">
        <f>'PDB_woody perennials'!K629</f>
        <v>1.0901303998733295E-3</v>
      </c>
      <c r="AC24" s="80">
        <f>'PDB_woody perennials'!G629</f>
        <v>47.663963789333337</v>
      </c>
      <c r="AD24" s="58">
        <f>'PDB_woody perennials'!J629</f>
        <v>67.618259876428027</v>
      </c>
      <c r="AE24" s="10">
        <f t="shared" si="10"/>
        <v>3.5256853572425513</v>
      </c>
      <c r="AF24" s="10">
        <f>Assumptions!$E$16</f>
        <v>0.5</v>
      </c>
      <c r="AG24" s="10">
        <f t="shared" si="3"/>
        <v>7.0463374452503355E-3</v>
      </c>
      <c r="AH24" s="10">
        <f t="shared" si="11"/>
        <v>7.0463374452503355E-3</v>
      </c>
      <c r="AI24" s="10">
        <f>'PDB_woody perennials'!K526</f>
        <v>1.0386368956523944E-3</v>
      </c>
      <c r="AJ24" s="80">
        <f>'PDB_woody perennials'!G526</f>
        <v>46.901340368704005</v>
      </c>
      <c r="AK24" s="58">
        <f>'PDB_woody perennials'!J526</f>
        <v>64.092574519185476</v>
      </c>
      <c r="AL24" s="10">
        <f>AK24-'BR_woody perennials'!AH16</f>
        <v>3.2353271098527827</v>
      </c>
      <c r="AM24" s="10">
        <f>Assumptions!$E$16</f>
        <v>0.5</v>
      </c>
      <c r="AN24" s="10">
        <f t="shared" si="4"/>
        <v>6.1606051939621332E-3</v>
      </c>
      <c r="AO24" s="10">
        <f t="shared" si="12"/>
        <v>6.1606051939621332E-3</v>
      </c>
    </row>
    <row r="25" spans="1:41" x14ac:dyDescent="0.2">
      <c r="A25" s="516"/>
      <c r="B25" s="516"/>
      <c r="C25" s="516"/>
      <c r="D25" s="516"/>
      <c r="E25" s="518"/>
      <c r="F25" s="56" t="s">
        <v>300</v>
      </c>
      <c r="G25" s="10">
        <v>0</v>
      </c>
      <c r="H25" s="80">
        <v>0</v>
      </c>
      <c r="I25" s="10"/>
      <c r="J25" s="10">
        <f t="shared" si="14"/>
        <v>-1119.7</v>
      </c>
      <c r="K25" s="10">
        <f>Assumptions!$E$16</f>
        <v>0.5</v>
      </c>
      <c r="L25" s="10">
        <f t="shared" si="0"/>
        <v>0</v>
      </c>
      <c r="M25" s="10">
        <f t="shared" si="15"/>
        <v>0</v>
      </c>
      <c r="N25" s="153">
        <f>'PDB_woody perennials'!K836</f>
        <v>1.7340000000000001E-2</v>
      </c>
      <c r="O25" s="80">
        <f>'PDB_woody perennials'!G836</f>
        <v>590</v>
      </c>
      <c r="P25" s="10">
        <f>'PDB_woody perennials'!J836</f>
        <v>1119.7</v>
      </c>
      <c r="Q25" s="10">
        <f t="shared" si="6"/>
        <v>65.526323541353122</v>
      </c>
      <c r="R25" s="10">
        <f>Assumptions!$E$16</f>
        <v>0.5</v>
      </c>
      <c r="S25" s="10">
        <f t="shared" si="1"/>
        <v>2.0830818253796157</v>
      </c>
      <c r="T25" s="10">
        <f t="shared" si="7"/>
        <v>2.0830818253796157</v>
      </c>
      <c r="U25" s="10">
        <f>'PDB_woody perennials'!K733</f>
        <v>1.6419946781561414E-2</v>
      </c>
      <c r="V25" s="80">
        <f>'PDB_woody perennials'!G733</f>
        <v>578.91584133333333</v>
      </c>
      <c r="W25" s="58">
        <f>'PDB_woody perennials'!J733</f>
        <v>1054.1736764586469</v>
      </c>
      <c r="X25" s="10">
        <f t="shared" si="8"/>
        <v>61.692435617767956</v>
      </c>
      <c r="Y25" s="10">
        <f>Assumptions!$E$16</f>
        <v>0.5</v>
      </c>
      <c r="Z25" s="10">
        <f t="shared" si="2"/>
        <v>1.8571419343925317</v>
      </c>
      <c r="AA25" s="10">
        <f t="shared" si="9"/>
        <v>1.8571419343925317</v>
      </c>
      <c r="AB25" s="10">
        <f>'PDB_woody perennials'!K630</f>
        <v>1.5549134082499146E-2</v>
      </c>
      <c r="AC25" s="80">
        <f>'PDB_woody perennials'!G630</f>
        <v>568.49535618933328</v>
      </c>
      <c r="AD25" s="58">
        <f>'PDB_woody perennials'!J630</f>
        <v>992.48124084087897</v>
      </c>
      <c r="AE25" s="10">
        <f t="shared" si="10"/>
        <v>51.748988876159046</v>
      </c>
      <c r="AF25" s="10">
        <f>Assumptions!$E$16</f>
        <v>0.5</v>
      </c>
      <c r="AG25" s="10">
        <f t="shared" si="3"/>
        <v>1.475195272226782</v>
      </c>
      <c r="AH25" s="10">
        <f t="shared" si="11"/>
        <v>1.475195272226782</v>
      </c>
      <c r="AI25" s="10">
        <f>'PDB_woody perennials'!K527</f>
        <v>1.4814653692261344E-2</v>
      </c>
      <c r="AJ25" s="80">
        <f>'PDB_woody perennials'!G527</f>
        <v>559.39943049030398</v>
      </c>
      <c r="AK25" s="58">
        <f>'PDB_woody perennials'!J527</f>
        <v>940.73225196471992</v>
      </c>
      <c r="AL25" s="10">
        <f>AK25-'BR_woody perennials'!AH17</f>
        <v>47.487194588872853</v>
      </c>
      <c r="AM25" s="10">
        <f>Assumptions!$E$16</f>
        <v>0.5</v>
      </c>
      <c r="AN25" s="10">
        <f t="shared" si="4"/>
        <v>1.2897616281938267</v>
      </c>
      <c r="AO25" s="10">
        <f t="shared" si="12"/>
        <v>1.2897616281938267</v>
      </c>
    </row>
    <row r="26" spans="1:41" x14ac:dyDescent="0.2">
      <c r="A26" s="516"/>
      <c r="B26" s="516"/>
      <c r="C26" s="516"/>
      <c r="D26" s="516"/>
      <c r="E26" s="518"/>
      <c r="F26" s="56" t="s">
        <v>301</v>
      </c>
      <c r="G26" s="10">
        <f>'PDB_woody perennials'!K932</f>
        <v>1.5803129375000002E-2</v>
      </c>
      <c r="H26" s="80">
        <f>'PDB_woody perennials'!G932</f>
        <v>137.5</v>
      </c>
      <c r="I26" s="10">
        <f>'PDB_woody perennials'!J932</f>
        <v>1269.1500506014027</v>
      </c>
      <c r="J26" s="10">
        <f t="shared" si="14"/>
        <v>403.05005060140263</v>
      </c>
      <c r="K26" s="10">
        <f>Assumptions!$E$16</f>
        <v>0.5</v>
      </c>
      <c r="L26" s="10">
        <f t="shared" si="0"/>
        <v>11.677328839466149</v>
      </c>
      <c r="M26" s="10">
        <f t="shared" si="15"/>
        <v>11.677328839466149</v>
      </c>
      <c r="N26" s="153">
        <f>'PDB_woody perennials'!K837</f>
        <v>1.0847000000000001E-2</v>
      </c>
      <c r="O26" s="80">
        <f>'PDB_woody perennials'!G837</f>
        <v>98</v>
      </c>
      <c r="P26" s="10">
        <f>'PDB_woody perennials'!J837</f>
        <v>866.1</v>
      </c>
      <c r="Q26" s="10">
        <f t="shared" si="6"/>
        <v>50.681640106663394</v>
      </c>
      <c r="R26" s="10">
        <f>Assumptions!$E$16</f>
        <v>0.5</v>
      </c>
      <c r="S26" s="10">
        <f t="shared" si="1"/>
        <v>1.0078635421011259</v>
      </c>
      <c r="T26" s="10">
        <f t="shared" si="7"/>
        <v>1.0078635421011259</v>
      </c>
      <c r="U26" s="10">
        <f>'PDB_woody perennials'!K734</f>
        <v>1.0272100450712683E-2</v>
      </c>
      <c r="V26" s="80">
        <f>'PDB_woody perennials'!G734</f>
        <v>96.110958666666676</v>
      </c>
      <c r="W26" s="58">
        <f>'PDB_woody perennials'!J734</f>
        <v>815.41835989333663</v>
      </c>
      <c r="X26" s="10">
        <f t="shared" si="8"/>
        <v>47.719978019428822</v>
      </c>
      <c r="Y26" s="10">
        <f>Assumptions!$E$16</f>
        <v>0.5</v>
      </c>
      <c r="Z26" s="10">
        <f t="shared" si="2"/>
        <v>0.89867141415585261</v>
      </c>
      <c r="AA26" s="10">
        <f t="shared" si="9"/>
        <v>0.89867141415585261</v>
      </c>
      <c r="AB26" s="10">
        <f>'PDB_woody perennials'!K631</f>
        <v>9.7273316011224631E-3</v>
      </c>
      <c r="AC26" s="80">
        <f>'PDB_woody perennials'!G631</f>
        <v>94.380961410666671</v>
      </c>
      <c r="AD26" s="58">
        <f>'PDB_woody perennials'!J631</f>
        <v>767.69838187390781</v>
      </c>
      <c r="AE26" s="10">
        <f t="shared" si="10"/>
        <v>40.028580278434561</v>
      </c>
      <c r="AF26" s="10">
        <f>Assumptions!$E$16</f>
        <v>0.5</v>
      </c>
      <c r="AG26" s="10">
        <f t="shared" si="3"/>
        <v>0.7138473354658873</v>
      </c>
      <c r="AH26" s="10">
        <f t="shared" si="11"/>
        <v>0.7138473354658873</v>
      </c>
      <c r="AI26" s="10">
        <f>'PDB_woody perennials'!K528</f>
        <v>9.2678504317880092E-3</v>
      </c>
      <c r="AJ26" s="80">
        <f>'PDB_woody perennials'!G528</f>
        <v>92.870866028096003</v>
      </c>
      <c r="AK26" s="58">
        <f>'PDB_woody perennials'!J528</f>
        <v>727.66980159547325</v>
      </c>
      <c r="AL26" s="10">
        <f>AK26-'BR_woody perennials'!AH18</f>
        <v>36.732021669970777</v>
      </c>
      <c r="AM26" s="10">
        <f>Assumptions!$E$16</f>
        <v>0.5</v>
      </c>
      <c r="AN26" s="10">
        <f t="shared" si="4"/>
        <v>0.62411595197322278</v>
      </c>
      <c r="AO26" s="10">
        <f t="shared" si="12"/>
        <v>0.62411595197322278</v>
      </c>
    </row>
    <row r="27" spans="1:41" x14ac:dyDescent="0.2">
      <c r="A27" s="516"/>
      <c r="B27" s="516"/>
      <c r="C27" s="516"/>
      <c r="D27" s="516"/>
      <c r="E27" s="518"/>
      <c r="F27" s="56" t="s">
        <v>302</v>
      </c>
      <c r="G27" s="10">
        <f>'PDB_woody perennials'!K933</f>
        <v>1.7317972222222228E-2</v>
      </c>
      <c r="H27" s="80">
        <f>'PDB_woody perennials'!G933</f>
        <v>137.5</v>
      </c>
      <c r="I27" s="10">
        <f>'PDB_woody perennials'!J933</f>
        <v>1411.3266601405417</v>
      </c>
      <c r="J27" s="10">
        <f t="shared" si="14"/>
        <v>-1974.1733398594583</v>
      </c>
      <c r="K27" s="10">
        <f>Assumptions!$E$16</f>
        <v>0.5</v>
      </c>
      <c r="L27" s="10">
        <f t="shared" si="0"/>
        <v>-62.679244946152608</v>
      </c>
      <c r="M27" s="10">
        <f t="shared" si="15"/>
        <v>-62.679244946152608</v>
      </c>
      <c r="N27" s="153">
        <f>'PDB_woody perennials'!K838</f>
        <v>4.1784000000000002E-2</v>
      </c>
      <c r="O27" s="80">
        <f>'PDB_woody perennials'!G838</f>
        <v>344</v>
      </c>
      <c r="P27" s="10">
        <f>'PDB_woody perennials'!J838</f>
        <v>3385.5</v>
      </c>
      <c r="Q27" s="10">
        <f t="shared" si="6"/>
        <v>198.17325059914265</v>
      </c>
      <c r="R27" s="10">
        <f>Assumptions!$E$16</f>
        <v>0.5</v>
      </c>
      <c r="S27" s="10">
        <f t="shared" si="1"/>
        <v>15.180863688896723</v>
      </c>
      <c r="T27" s="10">
        <f t="shared" si="7"/>
        <v>15.180863688896723</v>
      </c>
      <c r="U27" s="10">
        <f>'PDB_woody perennials'!K735</f>
        <v>3.9568057357752671E-2</v>
      </c>
      <c r="V27" s="80">
        <f>'PDB_woody perennials'!G735</f>
        <v>337.83484133333332</v>
      </c>
      <c r="W27" s="58">
        <f>'PDB_woody perennials'!J735</f>
        <v>3187.3267494008574</v>
      </c>
      <c r="X27" s="10">
        <f t="shared" si="8"/>
        <v>186.52898917071025</v>
      </c>
      <c r="Y27" s="10">
        <f>Assumptions!$E$16</f>
        <v>0.5</v>
      </c>
      <c r="Z27" s="10">
        <f t="shared" si="2"/>
        <v>13.531081194382198</v>
      </c>
      <c r="AA27" s="10">
        <f t="shared" si="9"/>
        <v>13.531081194382198</v>
      </c>
      <c r="AB27" s="10">
        <f>'PDB_woody perennials'!K632</f>
        <v>3.7469611651275249E-2</v>
      </c>
      <c r="AC27" s="80">
        <f>'PDB_woody perennials'!G632</f>
        <v>331.7538141893333</v>
      </c>
      <c r="AD27" s="58">
        <f>'PDB_woody perennials'!J632</f>
        <v>3000.7977602301471</v>
      </c>
      <c r="AE27" s="10">
        <f t="shared" si="10"/>
        <v>156.46467008503805</v>
      </c>
      <c r="AF27" s="10">
        <f>Assumptions!$E$16</f>
        <v>0.5</v>
      </c>
      <c r="AG27" s="10">
        <f t="shared" si="3"/>
        <v>10.748229112924014</v>
      </c>
      <c r="AH27" s="10">
        <f t="shared" si="11"/>
        <v>10.748229112924014</v>
      </c>
      <c r="AI27" s="10">
        <f>'PDB_woody perennials'!K529</f>
        <v>3.5699693478232895E-2</v>
      </c>
      <c r="AJ27" s="80">
        <f>'PDB_woody perennials'!G529</f>
        <v>326.44575316230396</v>
      </c>
      <c r="AK27" s="58">
        <f>'PDB_woody perennials'!J529</f>
        <v>2844.3330901451091</v>
      </c>
      <c r="AL27" s="10">
        <f>AK27-'BR_woody perennials'!AH19</f>
        <v>143.57900310656851</v>
      </c>
      <c r="AM27" s="10">
        <f>Assumptions!$E$16</f>
        <v>0.5</v>
      </c>
      <c r="AN27" s="10">
        <f t="shared" si="4"/>
        <v>9.3971650681603638</v>
      </c>
      <c r="AO27" s="10">
        <f t="shared" si="12"/>
        <v>9.3971650681603638</v>
      </c>
    </row>
    <row r="28" spans="1:41" x14ac:dyDescent="0.2">
      <c r="A28" s="516"/>
      <c r="B28" s="516"/>
      <c r="C28" s="516"/>
      <c r="D28" s="516"/>
      <c r="E28" s="518"/>
      <c r="F28" s="56" t="s">
        <v>303</v>
      </c>
      <c r="G28" s="10">
        <f>'PDB_woody perennials'!K934</f>
        <v>1.6955302222222222E-2</v>
      </c>
      <c r="H28" s="80">
        <f>'PDB_woody perennials'!G934</f>
        <v>137.5</v>
      </c>
      <c r="I28" s="10">
        <f>'PDB_woody perennials'!J934</f>
        <v>1377.0997567297252</v>
      </c>
      <c r="J28" s="10">
        <f t="shared" si="14"/>
        <v>-2862.9002432702746</v>
      </c>
      <c r="K28" s="10">
        <f>Assumptions!$E$16</f>
        <v>0.5</v>
      </c>
      <c r="L28" s="10">
        <f t="shared" si="0"/>
        <v>-88.992454570655227</v>
      </c>
      <c r="M28" s="10">
        <f t="shared" si="15"/>
        <v>-88.992454570655227</v>
      </c>
      <c r="N28" s="153">
        <f>'PDB_woody perennials'!K839</f>
        <v>5.2507999999999999E-2</v>
      </c>
      <c r="O28" s="80">
        <f>'PDB_woody perennials'!G839</f>
        <v>442</v>
      </c>
      <c r="P28" s="10">
        <f>'PDB_woody perennials'!J839</f>
        <v>4240</v>
      </c>
      <c r="Q28" s="10">
        <f t="shared" si="6"/>
        <v>248.15493005456392</v>
      </c>
      <c r="R28" s="10">
        <f>Assumptions!$E$16</f>
        <v>0.5</v>
      </c>
      <c r="S28" s="10">
        <f t="shared" si="1"/>
        <v>23.888551623392576</v>
      </c>
      <c r="T28" s="10">
        <f t="shared" si="7"/>
        <v>23.888551623392576</v>
      </c>
      <c r="U28" s="10">
        <f>'PDB_woody perennials'!K736</f>
        <v>4.972358794477498E-2</v>
      </c>
      <c r="V28" s="80">
        <f>'PDB_woody perennials'!G736</f>
        <v>433.62435866666669</v>
      </c>
      <c r="W28" s="58">
        <f>'PDB_woody perennials'!J736</f>
        <v>3991.8450699454361</v>
      </c>
      <c r="X28" s="10">
        <f t="shared" si="8"/>
        <v>233.61107422167106</v>
      </c>
      <c r="Y28" s="10">
        <f>Assumptions!$E$16</f>
        <v>0.5</v>
      </c>
      <c r="Z28" s="10">
        <f t="shared" si="2"/>
        <v>21.295964788880131</v>
      </c>
      <c r="AA28" s="10">
        <f t="shared" si="9"/>
        <v>21.295964788880131</v>
      </c>
      <c r="AB28" s="10">
        <f>'PDB_woody perennials'!K633</f>
        <v>4.7086555535274556E-2</v>
      </c>
      <c r="AC28" s="80">
        <f>'PDB_woody perennials'!G633</f>
        <v>425.81912021066671</v>
      </c>
      <c r="AD28" s="58">
        <f>'PDB_woody perennials'!J633</f>
        <v>3758.233995723765</v>
      </c>
      <c r="AE28" s="10">
        <f t="shared" si="10"/>
        <v>195.95817153575717</v>
      </c>
      <c r="AF28" s="10">
        <f>Assumptions!$E$16</f>
        <v>0.5</v>
      </c>
      <c r="AG28" s="10">
        <f t="shared" si="3"/>
        <v>16.916158098783693</v>
      </c>
      <c r="AH28" s="10">
        <f t="shared" si="11"/>
        <v>16.916158098783693</v>
      </c>
      <c r="AI28" s="10">
        <f>'PDB_woody perennials'!K530</f>
        <v>4.4862370477701009E-2</v>
      </c>
      <c r="AJ28" s="80">
        <f>'PDB_woody perennials'!G530</f>
        <v>419.00601428729607</v>
      </c>
      <c r="AK28" s="58">
        <f>'PDB_woody perennials'!J530</f>
        <v>3562.2758241880078</v>
      </c>
      <c r="AL28" s="10">
        <f>AK28-'BR_woody perennials'!AH20</f>
        <v>179.82001243091008</v>
      </c>
      <c r="AM28" s="10">
        <f>Assumptions!$E$16</f>
        <v>0.5</v>
      </c>
      <c r="AN28" s="10">
        <f t="shared" si="4"/>
        <v>14.789778697797196</v>
      </c>
      <c r="AO28" s="10">
        <f t="shared" si="12"/>
        <v>14.789778697797196</v>
      </c>
    </row>
    <row r="29" spans="1:41" ht="16.25" customHeight="1" x14ac:dyDescent="0.2">
      <c r="A29" s="516"/>
      <c r="B29" s="516"/>
      <c r="C29" s="516"/>
      <c r="D29" s="516"/>
      <c r="E29" s="518"/>
      <c r="F29" s="56" t="s">
        <v>304</v>
      </c>
      <c r="G29" s="10">
        <v>0</v>
      </c>
      <c r="H29" s="80">
        <v>0</v>
      </c>
      <c r="I29" s="10"/>
      <c r="J29" s="10">
        <f t="shared" si="14"/>
        <v>-281.7</v>
      </c>
      <c r="K29" s="10">
        <f>Assumptions!$E$16</f>
        <v>0.5</v>
      </c>
      <c r="L29" s="10">
        <f t="shared" si="0"/>
        <v>0</v>
      </c>
      <c r="M29" s="10">
        <f t="shared" si="15"/>
        <v>0</v>
      </c>
      <c r="N29" s="153">
        <f>'PDB_woody perennials'!K840</f>
        <v>3.741E-3</v>
      </c>
      <c r="O29" s="80">
        <f>'PDB_woody perennials'!G840</f>
        <v>49</v>
      </c>
      <c r="P29" s="10">
        <f>'PDB_woody perennials'!J840</f>
        <v>281.7</v>
      </c>
      <c r="Q29" s="10">
        <f t="shared" si="6"/>
        <v>16.52760969747419</v>
      </c>
      <c r="R29" s="10">
        <f>Assumptions!$E$16</f>
        <v>0.5</v>
      </c>
      <c r="S29" s="10">
        <f t="shared" si="1"/>
        <v>0.11335461111012674</v>
      </c>
      <c r="T29" s="10">
        <f t="shared" si="7"/>
        <v>0.11335461111012674</v>
      </c>
      <c r="U29" s="10">
        <f>'PDB_woody perennials'!K737</f>
        <v>3.5430311745390541E-3</v>
      </c>
      <c r="V29" s="80">
        <f>'PDB_woody perennials'!G737</f>
        <v>47.894758666666668</v>
      </c>
      <c r="W29" s="58">
        <f>'PDB_woody perennials'!J737</f>
        <v>265.1723903025258</v>
      </c>
      <c r="X29" s="10">
        <f t="shared" si="8"/>
        <v>15.518439685673599</v>
      </c>
      <c r="Y29" s="10">
        <f>Assumptions!$E$16</f>
        <v>0.5</v>
      </c>
      <c r="Z29" s="10">
        <f t="shared" si="2"/>
        <v>0.10080091190866693</v>
      </c>
      <c r="AA29" s="10">
        <f t="shared" si="9"/>
        <v>0.10080091190866693</v>
      </c>
      <c r="AB29" s="10">
        <f>'PDB_woody perennials'!K634</f>
        <v>3.3551306544577874E-3</v>
      </c>
      <c r="AC29" s="80">
        <f>'PDB_woody perennials'!G634</f>
        <v>47.032653010666671</v>
      </c>
      <c r="AD29" s="58">
        <f>'PDB_woody perennials'!J634</f>
        <v>249.6539506168522</v>
      </c>
      <c r="AE29" s="10">
        <f t="shared" si="10"/>
        <v>13.017212801337308</v>
      </c>
      <c r="AF29" s="10">
        <f>Assumptions!$E$16</f>
        <v>0.5</v>
      </c>
      <c r="AG29" s="10">
        <f t="shared" si="3"/>
        <v>8.0069824459839734E-2</v>
      </c>
      <c r="AH29" s="10">
        <f t="shared" si="11"/>
        <v>8.0069824459839734E-2</v>
      </c>
      <c r="AI29" s="10">
        <f>'PDB_woody perennials'!K531</f>
        <v>3.1966473807712764E-3</v>
      </c>
      <c r="AJ29" s="80">
        <f>'PDB_woody perennials'!G531</f>
        <v>46.280130562496005</v>
      </c>
      <c r="AK29" s="58">
        <f>'PDB_woody perennials'!J531</f>
        <v>236.63673781551489</v>
      </c>
      <c r="AL29" s="10">
        <f>AK29-'BR_woody perennials'!AH21</f>
        <v>11.945178654236827</v>
      </c>
      <c r="AM29" s="10">
        <f>Assumptions!$E$16</f>
        <v>0.5</v>
      </c>
      <c r="AN29" s="10">
        <f t="shared" si="4"/>
        <v>7.0004960772837035E-2</v>
      </c>
      <c r="AO29" s="10">
        <f t="shared" si="12"/>
        <v>7.0004960772837035E-2</v>
      </c>
    </row>
    <row r="30" spans="1:41" ht="14.5" customHeight="1" x14ac:dyDescent="0.2">
      <c r="A30" s="584" t="s">
        <v>10</v>
      </c>
      <c r="B30" s="584"/>
      <c r="C30" s="584"/>
      <c r="D30" s="584" t="s">
        <v>35</v>
      </c>
      <c r="E30" s="587">
        <f>Assumptions!D62</f>
        <v>6772.8780000000015</v>
      </c>
      <c r="F30" s="55" t="s">
        <v>173</v>
      </c>
      <c r="G30" s="10">
        <f>'PDB_woody perennials'!K943</f>
        <v>1.9743508454106284E-2</v>
      </c>
      <c r="H30" s="80">
        <f>'PDB_woody perennials'!G943</f>
        <v>184.78260869565219</v>
      </c>
      <c r="I30" s="10">
        <f>'PDB_woody perennials'!J943</f>
        <v>1567.2051859806634</v>
      </c>
      <c r="J30" s="10">
        <f t="shared" si="14"/>
        <v>904.40518598066342</v>
      </c>
      <c r="K30" s="10">
        <f>Assumptions!$E$16</f>
        <v>0.5</v>
      </c>
      <c r="L30" s="10">
        <f>G30*J30*K30*(44/12)</f>
        <v>32.736240964802455</v>
      </c>
      <c r="M30" s="10">
        <f>L30</f>
        <v>32.736240964802455</v>
      </c>
      <c r="N30" s="153">
        <f>'PDB_woody perennials'!K841</f>
        <v>8.3979999999999992E-3</v>
      </c>
      <c r="O30" s="80">
        <f>'PDB_woody perennials'!G841</f>
        <v>82</v>
      </c>
      <c r="P30" s="10">
        <f>'PDB_woody perennials'!J841</f>
        <v>662.8</v>
      </c>
      <c r="Q30" s="10">
        <f t="shared" si="6"/>
        <v>38.830822237350503</v>
      </c>
      <c r="R30" s="10">
        <f>Assumptions!$E$16</f>
        <v>0.5</v>
      </c>
      <c r="S30" s="10">
        <f t="shared" si="1"/>
        <v>0.59785228277366065</v>
      </c>
      <c r="T30" s="10">
        <f t="shared" si="7"/>
        <v>0.59785228277366065</v>
      </c>
      <c r="U30" s="10">
        <f>'PDB_woody perennials'!K738</f>
        <v>7.9526204403328523E-3</v>
      </c>
      <c r="V30" s="80">
        <f>'PDB_woody perennials'!G738</f>
        <v>80.038892000000004</v>
      </c>
      <c r="W30" s="58">
        <f>'PDB_woody perennials'!J738</f>
        <v>623.96917776264945</v>
      </c>
      <c r="X30" s="10">
        <f t="shared" si="8"/>
        <v>36.515973777595036</v>
      </c>
      <c r="Y30" s="10">
        <f>Assumptions!$E$16</f>
        <v>0.5</v>
      </c>
      <c r="Z30" s="10">
        <f t="shared" si="2"/>
        <v>0.53239574568099468</v>
      </c>
      <c r="AA30" s="10">
        <f t="shared" si="9"/>
        <v>0.53239574568099468</v>
      </c>
      <c r="AB30" s="10">
        <f>'PDB_woody perennials'!K635</f>
        <v>7.5308625039404728E-3</v>
      </c>
      <c r="AC30" s="80">
        <f>'PDB_woody perennials'!G635</f>
        <v>78.598191944000007</v>
      </c>
      <c r="AD30" s="58">
        <f>'PDB_woody perennials'!J635</f>
        <v>587.45320398505442</v>
      </c>
      <c r="AE30" s="10">
        <f t="shared" si="10"/>
        <v>30.630412009128804</v>
      </c>
      <c r="AF30" s="10">
        <f>Assumptions!$E$16</f>
        <v>0.5</v>
      </c>
      <c r="AG30" s="10">
        <f t="shared" si="3"/>
        <v>0.42290127234629277</v>
      </c>
      <c r="AH30" s="10">
        <f t="shared" si="11"/>
        <v>0.42290127234629277</v>
      </c>
      <c r="AI30" s="10">
        <f>'PDB_woody perennials'!K532</f>
        <v>7.1751339597415408E-3</v>
      </c>
      <c r="AJ30" s="80">
        <f>'PDB_woody perennials'!G532</f>
        <v>77.340620872896011</v>
      </c>
      <c r="AK30" s="58">
        <f>'PDB_woody perennials'!J532</f>
        <v>556.82279197592561</v>
      </c>
      <c r="AL30" s="10">
        <f>AK30-'BR_woody perennials'!AH22</f>
        <v>28.107840694155584</v>
      </c>
      <c r="AM30" s="10">
        <f>Assumptions!$E$16</f>
        <v>0.5</v>
      </c>
      <c r="AN30" s="10">
        <f t="shared" si="4"/>
        <v>0.36974212421600844</v>
      </c>
      <c r="AO30" s="10">
        <f t="shared" si="12"/>
        <v>0.36974212421600844</v>
      </c>
    </row>
    <row r="31" spans="1:41" x14ac:dyDescent="0.2">
      <c r="A31" s="585"/>
      <c r="B31" s="585"/>
      <c r="C31" s="585"/>
      <c r="D31" s="585"/>
      <c r="E31" s="588"/>
      <c r="F31" s="55" t="s">
        <v>170</v>
      </c>
      <c r="G31" s="10">
        <f>'PDB_woody perennials'!K944</f>
        <v>5.4608695652173919E-4</v>
      </c>
      <c r="H31" s="80">
        <f>'PDB_woody perennials'!G944</f>
        <v>10.869565217391305</v>
      </c>
      <c r="I31" s="10">
        <f>'PDB_woody perennials'!J944</f>
        <v>38.417505011448448</v>
      </c>
      <c r="J31" s="10">
        <f t="shared" si="14"/>
        <v>-517.28249498855155</v>
      </c>
      <c r="K31" s="10">
        <f>Assumptions!$E$16</f>
        <v>0.5</v>
      </c>
      <c r="L31" s="10">
        <f t="shared" ref="L31:L71" si="16">G31*J31*K31*44/12</f>
        <v>-0.51788224280882822</v>
      </c>
      <c r="M31" s="10">
        <f t="shared" ref="M31:M112" si="17">L31</f>
        <v>-0.51788224280882822</v>
      </c>
      <c r="N31" s="153">
        <f>'PDB_woody perennials'!K842</f>
        <v>7.9450000000000007E-3</v>
      </c>
      <c r="O31" s="80">
        <f>'PDB_woody perennials'!G842</f>
        <v>164</v>
      </c>
      <c r="P31" s="10">
        <f>'PDB_woody perennials'!J842</f>
        <v>555.70000000000005</v>
      </c>
      <c r="Q31" s="10">
        <f t="shared" si="6"/>
        <v>32.51686729465473</v>
      </c>
      <c r="R31" s="10">
        <f>Assumptions!$E$16</f>
        <v>0.5</v>
      </c>
      <c r="S31" s="10">
        <f t="shared" si="1"/>
        <v>0.47363526953605845</v>
      </c>
      <c r="T31" s="10">
        <f t="shared" si="7"/>
        <v>0.47363526953605845</v>
      </c>
      <c r="U31" s="10">
        <f>'PDB_woody perennials'!K739</f>
        <v>7.5237616463879782E-3</v>
      </c>
      <c r="V31" s="80">
        <f>'PDB_woody perennials'!G739</f>
        <v>161.04210800000001</v>
      </c>
      <c r="W31" s="58">
        <f>'PDB_woody perennials'!J739</f>
        <v>523.18313270534532</v>
      </c>
      <c r="X31" s="10">
        <f t="shared" si="8"/>
        <v>30.617764844171688</v>
      </c>
      <c r="Y31" s="10">
        <f>Assumptions!$E$16</f>
        <v>0.5</v>
      </c>
      <c r="Z31" s="10">
        <f t="shared" si="2"/>
        <v>0.42232806885995949</v>
      </c>
      <c r="AA31" s="10">
        <f t="shared" si="9"/>
        <v>0.42232806885995949</v>
      </c>
      <c r="AB31" s="10">
        <f>'PDB_woody perennials'!K636</f>
        <v>7.1247477352253943E-3</v>
      </c>
      <c r="AC31" s="80">
        <f>'PDB_woody perennials'!G636</f>
        <v>158.143350056</v>
      </c>
      <c r="AD31" s="58">
        <f>'PDB_woody perennials'!J636</f>
        <v>492.56536786117363</v>
      </c>
      <c r="AE31" s="10">
        <f t="shared" si="10"/>
        <v>25.682863003671116</v>
      </c>
      <c r="AF31" s="10">
        <f>Assumptions!$E$16</f>
        <v>0.5</v>
      </c>
      <c r="AG31" s="10">
        <f t="shared" si="3"/>
        <v>0.3354705200357681</v>
      </c>
      <c r="AH31" s="10">
        <f t="shared" si="11"/>
        <v>0.3354705200357681</v>
      </c>
      <c r="AI31" s="10">
        <f>'PDB_woody perennials'!K533</f>
        <v>6.788202467228506E-3</v>
      </c>
      <c r="AJ31" s="80">
        <f>'PDB_woody perennials'!G533</f>
        <v>155.61305645510402</v>
      </c>
      <c r="AK31" s="58">
        <f>'PDB_woody perennials'!J533</f>
        <v>466.88250485750251</v>
      </c>
      <c r="AL31" s="10">
        <f>AK31-'BR_woody perennials'!AH23</f>
        <v>23.567747690167835</v>
      </c>
      <c r="AM31" s="10">
        <f>Assumptions!$E$16</f>
        <v>0.5</v>
      </c>
      <c r="AN31" s="10">
        <f t="shared" si="4"/>
        <v>0.2933015121985964</v>
      </c>
      <c r="AO31" s="10">
        <f t="shared" si="12"/>
        <v>0.2933015121985964</v>
      </c>
    </row>
    <row r="32" spans="1:41" x14ac:dyDescent="0.2">
      <c r="A32" s="585"/>
      <c r="B32" s="585"/>
      <c r="C32" s="585"/>
      <c r="D32" s="585"/>
      <c r="E32" s="588"/>
      <c r="F32" s="55" t="s">
        <v>171</v>
      </c>
      <c r="G32" s="10">
        <f>'PDB_woody perennials'!K945</f>
        <v>3.0973369565217394E-3</v>
      </c>
      <c r="H32" s="80">
        <f>'PDB_woody perennials'!G945</f>
        <v>32.608695652173914</v>
      </c>
      <c r="I32" s="10">
        <f>'PDB_woody perennials'!J945</f>
        <v>241.27519264954486</v>
      </c>
      <c r="J32" s="10">
        <f t="shared" si="14"/>
        <v>-4983.3248073504556</v>
      </c>
      <c r="K32" s="10">
        <f>Assumptions!$E$16</f>
        <v>0.5</v>
      </c>
      <c r="L32" s="10">
        <f t="shared" si="16"/>
        <v>-28.297566168956592</v>
      </c>
      <c r="M32" s="10">
        <f t="shared" si="17"/>
        <v>-28.297566168956592</v>
      </c>
      <c r="N32" s="153">
        <f>'PDB_woody perennials'!K843</f>
        <v>6.7460999999999993E-2</v>
      </c>
      <c r="O32" s="80">
        <f>'PDB_woody perennials'!G843</f>
        <v>737</v>
      </c>
      <c r="P32" s="10">
        <f>'PDB_woody perennials'!J843</f>
        <v>5224.6000000000004</v>
      </c>
      <c r="Q32" s="10">
        <f t="shared" si="6"/>
        <v>305.78163355709148</v>
      </c>
      <c r="R32" s="10">
        <f>Assumptions!$E$16</f>
        <v>0.5</v>
      </c>
      <c r="S32" s="10">
        <f t="shared" si="1"/>
        <v>37.818613765890738</v>
      </c>
      <c r="T32" s="10">
        <f t="shared" si="7"/>
        <v>37.818613765890738</v>
      </c>
      <c r="U32" s="10">
        <f>'PDB_woody perennials'!K740</f>
        <v>6.3882987407345507E-2</v>
      </c>
      <c r="V32" s="80">
        <f>'PDB_woody perennials'!G740</f>
        <v>723.24300000000005</v>
      </c>
      <c r="W32" s="58">
        <f>'PDB_woody perennials'!J740</f>
        <v>4918.8183664429089</v>
      </c>
      <c r="X32" s="10">
        <f t="shared" si="8"/>
        <v>287.85947910090817</v>
      </c>
      <c r="Y32" s="10">
        <f>Assumptions!$E$16</f>
        <v>0.5</v>
      </c>
      <c r="Z32" s="10">
        <f t="shared" si="2"/>
        <v>33.71375971056198</v>
      </c>
      <c r="AA32" s="10">
        <f t="shared" si="9"/>
        <v>33.71375971056198</v>
      </c>
      <c r="AB32" s="10">
        <f>'PDB_woody perennials'!K637</f>
        <v>6.0495027785526241E-2</v>
      </c>
      <c r="AC32" s="80">
        <f>'PDB_woody perennials'!G637</f>
        <v>710.22462600000006</v>
      </c>
      <c r="AD32" s="58">
        <f>'PDB_woody perennials'!J637</f>
        <v>4630.9588873420007</v>
      </c>
      <c r="AE32" s="10">
        <f t="shared" si="10"/>
        <v>241.46294165114614</v>
      </c>
      <c r="AF32" s="10">
        <f>Assumptions!$E$16</f>
        <v>0.5</v>
      </c>
      <c r="AG32" s="10">
        <f t="shared" si="3"/>
        <v>26.780063501328474</v>
      </c>
      <c r="AH32" s="10">
        <f t="shared" si="11"/>
        <v>26.780063501328474</v>
      </c>
      <c r="AI32" s="10">
        <f>'PDB_woody perennials'!K534</f>
        <v>5.7637478845526446E-2</v>
      </c>
      <c r="AJ32" s="80">
        <f>'PDB_woody perennials'!G534</f>
        <v>698.86103198400008</v>
      </c>
      <c r="AK32" s="58">
        <f>'PDB_woody perennials'!J534</f>
        <v>4389.4959456908546</v>
      </c>
      <c r="AL32" s="10">
        <f>AK32-'BR_woody perennials'!AH24</f>
        <v>221.57723165624066</v>
      </c>
      <c r="AM32" s="10">
        <f>Assumptions!$E$16</f>
        <v>0.5</v>
      </c>
      <c r="AN32" s="10">
        <f t="shared" si="4"/>
        <v>23.413780504100956</v>
      </c>
      <c r="AO32" s="10">
        <f t="shared" si="12"/>
        <v>23.413780504100956</v>
      </c>
    </row>
    <row r="33" spans="1:41" x14ac:dyDescent="0.2">
      <c r="A33" s="585"/>
      <c r="B33" s="585"/>
      <c r="C33" s="585"/>
      <c r="D33" s="585"/>
      <c r="E33" s="588"/>
      <c r="F33" s="55" t="s">
        <v>172</v>
      </c>
      <c r="G33" s="10">
        <f>'PDB_woody perennials'!K946</f>
        <v>1.2321086956521744E-2</v>
      </c>
      <c r="H33" s="80">
        <f>'PDB_woody perennials'!G946</f>
        <v>97.826086956521749</v>
      </c>
      <c r="I33" s="10">
        <f>'PDB_woody perennials'!J946</f>
        <v>1004.1059242106621</v>
      </c>
      <c r="J33" s="10">
        <f t="shared" si="14"/>
        <v>-3102.8940757893379</v>
      </c>
      <c r="K33" s="10">
        <f>Assumptions!$E$16</f>
        <v>0.5</v>
      </c>
      <c r="L33" s="10">
        <f t="shared" si="16"/>
        <v>-70.090217495240438</v>
      </c>
      <c r="M33" s="10">
        <f t="shared" si="17"/>
        <v>-70.090217495240438</v>
      </c>
      <c r="N33" s="153">
        <f>'PDB_woody perennials'!K844</f>
        <v>5.0688999999999998E-2</v>
      </c>
      <c r="O33" s="80">
        <f>'PDB_woody perennials'!G844</f>
        <v>417</v>
      </c>
      <c r="P33" s="10">
        <f>'PDB_woody perennials'!J844</f>
        <v>4107</v>
      </c>
      <c r="Q33" s="10">
        <f t="shared" si="6"/>
        <v>240.35717841475389</v>
      </c>
      <c r="R33" s="10">
        <f>Assumptions!$E$16</f>
        <v>0.5</v>
      </c>
      <c r="S33" s="10">
        <f t="shared" si="1"/>
        <v>22.336352530553341</v>
      </c>
      <c r="T33" s="10">
        <f t="shared" si="7"/>
        <v>22.336352530553341</v>
      </c>
      <c r="U33" s="10">
        <f>'PDB_woody perennials'!K741</f>
        <v>4.8001211352173799E-2</v>
      </c>
      <c r="V33" s="80">
        <f>'PDB_woody perennials'!G741</f>
        <v>409.83770000000004</v>
      </c>
      <c r="W33" s="58">
        <f>'PDB_woody perennials'!J741</f>
        <v>3866.6428215852461</v>
      </c>
      <c r="X33" s="10">
        <f t="shared" si="8"/>
        <v>226.28397829938649</v>
      </c>
      <c r="Y33" s="10">
        <f>Assumptions!$E$16</f>
        <v>0.5</v>
      </c>
      <c r="Z33" s="10">
        <f t="shared" si="2"/>
        <v>19.913492624592525</v>
      </c>
      <c r="AA33" s="10">
        <f t="shared" si="9"/>
        <v>19.913492624592525</v>
      </c>
      <c r="AB33" s="10">
        <f>'PDB_woody perennials'!K638</f>
        <v>4.5455523173526115E-2</v>
      </c>
      <c r="AC33" s="80">
        <f>'PDB_woody perennials'!G638</f>
        <v>402.46062140000004</v>
      </c>
      <c r="AD33" s="58">
        <f>'PDB_woody perennials'!J638</f>
        <v>3640.3588432858596</v>
      </c>
      <c r="AE33" s="10">
        <f t="shared" si="10"/>
        <v>189.81204030297204</v>
      </c>
      <c r="AF33" s="10">
        <f>Assumptions!$E$16</f>
        <v>0.5</v>
      </c>
      <c r="AG33" s="10">
        <f t="shared" si="3"/>
        <v>15.818010260444366</v>
      </c>
      <c r="AH33" s="10">
        <f t="shared" si="11"/>
        <v>15.818010260444366</v>
      </c>
      <c r="AI33" s="10">
        <f>'PDB_woody perennials'!K535</f>
        <v>4.3308381717171218E-2</v>
      </c>
      <c r="AJ33" s="80">
        <f>'PDB_woody perennials'!G535</f>
        <v>396.02125145760004</v>
      </c>
      <c r="AK33" s="58">
        <f>'PDB_woody perennials'!J535</f>
        <v>3450.5468029828876</v>
      </c>
      <c r="AL33" s="10">
        <f>AK33-'BR_woody perennials'!AH25</f>
        <v>174.18004658503787</v>
      </c>
      <c r="AM33" s="10">
        <f>Assumptions!$E$16</f>
        <v>0.5</v>
      </c>
      <c r="AN33" s="10">
        <f t="shared" si="4"/>
        <v>13.829669232535723</v>
      </c>
      <c r="AO33" s="10">
        <f t="shared" si="12"/>
        <v>13.829669232535723</v>
      </c>
    </row>
    <row r="34" spans="1:41" x14ac:dyDescent="0.2">
      <c r="A34" s="585"/>
      <c r="B34" s="585"/>
      <c r="C34" s="585"/>
      <c r="D34" s="585"/>
      <c r="E34" s="588"/>
      <c r="F34" s="104" t="s">
        <v>185</v>
      </c>
      <c r="G34" s="10">
        <f>'PDB_woody perennials'!K947</f>
        <v>3.0717391304347833E-4</v>
      </c>
      <c r="H34" s="80">
        <f>'PDB_woody perennials'!G947</f>
        <v>10.869565217391305</v>
      </c>
      <c r="I34" s="10">
        <f>'PDB_woody perennials'!J947</f>
        <v>19.709303976140696</v>
      </c>
      <c r="J34" s="10">
        <f t="shared" si="14"/>
        <v>19.709303976140696</v>
      </c>
      <c r="K34" s="10">
        <f>Assumptions!$E$16</f>
        <v>0.5</v>
      </c>
      <c r="L34" s="10">
        <f t="shared" si="16"/>
        <v>1.1099337380476628E-2</v>
      </c>
      <c r="M34" s="10">
        <f t="shared" si="17"/>
        <v>1.1099337380476628E-2</v>
      </c>
      <c r="N34" s="10"/>
      <c r="O34" s="76"/>
      <c r="P34" s="10"/>
      <c r="Q34" s="10"/>
      <c r="R34" s="10">
        <f>Assumptions!$E$16</f>
        <v>0.5</v>
      </c>
      <c r="S34" s="10"/>
      <c r="T34" s="10"/>
      <c r="U34" s="10"/>
      <c r="V34" s="76"/>
      <c r="W34" s="58"/>
      <c r="X34" s="10"/>
      <c r="Y34" s="10">
        <f>Assumptions!$E$16</f>
        <v>0.5</v>
      </c>
      <c r="Z34" s="10"/>
      <c r="AA34" s="10"/>
      <c r="AB34" s="10"/>
      <c r="AC34" s="76"/>
      <c r="AD34" s="58"/>
      <c r="AE34" s="10"/>
      <c r="AF34" s="10">
        <f>Assumptions!$E$16</f>
        <v>0.5</v>
      </c>
      <c r="AG34" s="10"/>
      <c r="AH34" s="10"/>
      <c r="AI34" s="10"/>
      <c r="AJ34" s="76"/>
      <c r="AK34" s="58"/>
      <c r="AL34" s="10"/>
      <c r="AM34" s="10">
        <f>Assumptions!$E$16</f>
        <v>0.5</v>
      </c>
      <c r="AN34" s="10"/>
      <c r="AO34" s="10"/>
    </row>
    <row r="35" spans="1:41" x14ac:dyDescent="0.2">
      <c r="A35" s="586"/>
      <c r="B35" s="586"/>
      <c r="C35" s="586"/>
      <c r="D35" s="586"/>
      <c r="E35" s="589"/>
      <c r="F35" s="104" t="s">
        <v>372</v>
      </c>
      <c r="G35" s="10">
        <f>'PDB_woody perennials'!K948</f>
        <v>5.191239130434783E-4</v>
      </c>
      <c r="H35" s="80">
        <f>'PDB_woody perennials'!G948</f>
        <v>10.869565217391305</v>
      </c>
      <c r="I35" s="10">
        <f>'PDB_woody perennials'!J948</f>
        <v>36.225956811391647</v>
      </c>
      <c r="J35" s="10">
        <f t="shared" si="14"/>
        <v>36.225956811391647</v>
      </c>
      <c r="K35" s="10">
        <f>Assumptions!$E$16</f>
        <v>0.5</v>
      </c>
      <c r="L35" s="10">
        <f t="shared" si="16"/>
        <v>3.4477227498401743E-2</v>
      </c>
      <c r="M35" s="10">
        <f t="shared" si="17"/>
        <v>3.4477227498401743E-2</v>
      </c>
      <c r="N35" s="10"/>
      <c r="O35" s="76"/>
      <c r="P35" s="10"/>
      <c r="Q35" s="10"/>
      <c r="R35" s="10">
        <f>Assumptions!$E$16</f>
        <v>0.5</v>
      </c>
      <c r="S35" s="10"/>
      <c r="T35" s="10"/>
      <c r="U35" s="10"/>
      <c r="V35" s="76"/>
      <c r="W35" s="58"/>
      <c r="X35" s="10"/>
      <c r="Y35" s="10">
        <f>Assumptions!$E$16</f>
        <v>0.5</v>
      </c>
      <c r="Z35" s="10"/>
      <c r="AA35" s="10"/>
      <c r="AB35" s="10"/>
      <c r="AC35" s="76"/>
      <c r="AD35" s="58"/>
      <c r="AE35" s="10"/>
      <c r="AF35" s="10">
        <f>Assumptions!$E$16</f>
        <v>0.5</v>
      </c>
      <c r="AG35" s="10"/>
      <c r="AH35" s="10"/>
      <c r="AI35" s="10"/>
      <c r="AJ35" s="76"/>
      <c r="AK35" s="58"/>
      <c r="AL35" s="10"/>
      <c r="AM35" s="10">
        <f>Assumptions!$E$16</f>
        <v>0.5</v>
      </c>
      <c r="AN35" s="10"/>
      <c r="AO35" s="10"/>
    </row>
    <row r="36" spans="1:41" ht="14.5" customHeight="1" x14ac:dyDescent="0.2">
      <c r="A36" s="584" t="s">
        <v>11</v>
      </c>
      <c r="B36" s="584"/>
      <c r="C36" s="584"/>
      <c r="D36" s="584" t="s">
        <v>35</v>
      </c>
      <c r="E36" s="587">
        <f>Assumptions!D63</f>
        <v>4319.8270000000002</v>
      </c>
      <c r="F36" s="55" t="s">
        <v>174</v>
      </c>
      <c r="G36" s="10">
        <v>0</v>
      </c>
      <c r="H36" s="80">
        <v>0</v>
      </c>
      <c r="I36" s="10">
        <v>0</v>
      </c>
      <c r="J36" s="10">
        <f t="shared" si="14"/>
        <v>-4465</v>
      </c>
      <c r="K36" s="10">
        <f>Assumptions!$E$16</f>
        <v>0.5</v>
      </c>
      <c r="L36" s="10">
        <f t="shared" si="16"/>
        <v>0</v>
      </c>
      <c r="M36" s="10">
        <f t="shared" si="17"/>
        <v>0</v>
      </c>
      <c r="N36" s="10">
        <f>'PDB_woody perennials'!K845</f>
        <v>4.4621000000000001E-2</v>
      </c>
      <c r="O36" s="80">
        <f>'PDB_woody perennials'!G845</f>
        <v>98</v>
      </c>
      <c r="P36" s="10">
        <f>'PDB_woody perennials'!J845</f>
        <v>4465</v>
      </c>
      <c r="Q36" s="10">
        <f t="shared" si="6"/>
        <v>261.27973113742155</v>
      </c>
      <c r="R36" s="10">
        <f>Assumptions!$E$16</f>
        <v>0.5</v>
      </c>
      <c r="S36" s="10">
        <f t="shared" si="1"/>
        <v>21.374031952318628</v>
      </c>
      <c r="T36" s="10">
        <f t="shared" si="7"/>
        <v>21.374031952318628</v>
      </c>
      <c r="U36" s="10">
        <f>'PDB_woody perennials'!K742</f>
        <v>4.2254284508274544E-2</v>
      </c>
      <c r="V36" s="80">
        <f>'PDB_woody perennials'!G742</f>
        <v>96.432400000000001</v>
      </c>
      <c r="W36" s="58">
        <f>'PDB_woody perennials'!J742</f>
        <v>4203.7202688625785</v>
      </c>
      <c r="X36" s="10">
        <f t="shared" si="8"/>
        <v>246.01045144014734</v>
      </c>
      <c r="Y36" s="10">
        <f>Assumptions!$E$16</f>
        <v>0.5</v>
      </c>
      <c r="Z36" s="10">
        <f t="shared" si="2"/>
        <v>19.057491946461916</v>
      </c>
      <c r="AA36" s="10">
        <f t="shared" si="9"/>
        <v>19.057491946461916</v>
      </c>
      <c r="AB36" s="10">
        <f>'PDB_woody perennials'!K639</f>
        <v>4.0013377882382503E-2</v>
      </c>
      <c r="AC36" s="80">
        <f>'PDB_woody perennials'!G639</f>
        <v>94.696616800000001</v>
      </c>
      <c r="AD36" s="58">
        <f>'PDB_woody perennials'!J639</f>
        <v>3957.7098174224311</v>
      </c>
      <c r="AE36" s="10">
        <f t="shared" si="10"/>
        <v>206.35904527861521</v>
      </c>
      <c r="AF36" s="10">
        <f>Assumptions!$E$16</f>
        <v>0.5</v>
      </c>
      <c r="AG36" s="10">
        <f t="shared" si="3"/>
        <v>15.138057839998337</v>
      </c>
      <c r="AH36" s="10">
        <f t="shared" si="11"/>
        <v>15.138057839998337</v>
      </c>
      <c r="AI36" s="10">
        <f>'PDB_woody perennials'!K536</f>
        <v>3.8123302123446001E-2</v>
      </c>
      <c r="AJ36" s="80">
        <f>'PDB_woody perennials'!G536</f>
        <v>93.181470931199996</v>
      </c>
      <c r="AK36" s="58">
        <f>'PDB_woody perennials'!J536</f>
        <v>3751.3507721438159</v>
      </c>
      <c r="AL36" s="10">
        <f>AK36-'BR_woody perennials'!AH26</f>
        <v>189.36432094877591</v>
      </c>
      <c r="AM36" s="10">
        <f>Assumptions!$E$16</f>
        <v>0.5</v>
      </c>
      <c r="AN36" s="10">
        <f t="shared" si="4"/>
        <v>13.235187568040862</v>
      </c>
      <c r="AO36" s="10">
        <f t="shared" si="12"/>
        <v>13.235187568040862</v>
      </c>
    </row>
    <row r="37" spans="1:41" x14ac:dyDescent="0.2">
      <c r="A37" s="585"/>
      <c r="B37" s="585"/>
      <c r="C37" s="585"/>
      <c r="D37" s="585"/>
      <c r="E37" s="588"/>
      <c r="F37" s="55" t="s">
        <v>175</v>
      </c>
      <c r="G37" s="10">
        <v>0</v>
      </c>
      <c r="H37" s="80">
        <v>0</v>
      </c>
      <c r="I37" s="10">
        <v>0</v>
      </c>
      <c r="J37" s="10">
        <f t="shared" si="14"/>
        <v>-85.4</v>
      </c>
      <c r="K37" s="10">
        <f>Assumptions!$E$16</f>
        <v>0.5</v>
      </c>
      <c r="L37" s="10">
        <f t="shared" si="16"/>
        <v>0</v>
      </c>
      <c r="M37" s="10">
        <f t="shared" si="17"/>
        <v>0</v>
      </c>
      <c r="N37" s="10">
        <f>'PDB_woody perennials'!K846</f>
        <v>1.338E-3</v>
      </c>
      <c r="O37" s="80">
        <f>'PDB_woody perennials'!G846</f>
        <v>49</v>
      </c>
      <c r="P37" s="10">
        <f>'PDB_woody perennials'!J846</f>
        <v>85.4</v>
      </c>
      <c r="Q37" s="10">
        <f t="shared" si="6"/>
        <v>5.0382476598301906</v>
      </c>
      <c r="R37" s="10">
        <f>Assumptions!$E$16</f>
        <v>0.5</v>
      </c>
      <c r="S37" s="10">
        <f t="shared" si="1"/>
        <v>1.2358821509563458E-2</v>
      </c>
      <c r="T37" s="10">
        <f t="shared" si="7"/>
        <v>1.2358821509563458E-2</v>
      </c>
      <c r="U37" s="10">
        <f>'PDB_woody perennials'!K743</f>
        <v>1.2671005766746219E-3</v>
      </c>
      <c r="V37" s="80">
        <f>'PDB_woody perennials'!G743</f>
        <v>48.216200000000001</v>
      </c>
      <c r="W37" s="58">
        <f>'PDB_woody perennials'!J743</f>
        <v>80.361752340169815</v>
      </c>
      <c r="X37" s="10">
        <f t="shared" si="8"/>
        <v>4.7029368529023685</v>
      </c>
      <c r="Y37" s="10">
        <f>Assumptions!$E$16</f>
        <v>0.5</v>
      </c>
      <c r="Z37" s="10">
        <f t="shared" si="2"/>
        <v>1.0925005663691026E-2</v>
      </c>
      <c r="AA37" s="10">
        <f t="shared" si="9"/>
        <v>1.0925005663691026E-2</v>
      </c>
      <c r="AB37" s="10">
        <f>'PDB_woody perennials'!K640</f>
        <v>1.199901377564157E-3</v>
      </c>
      <c r="AC37" s="80">
        <f>'PDB_woody perennials'!G640</f>
        <v>47.348308400000001</v>
      </c>
      <c r="AD37" s="58">
        <f>'PDB_woody perennials'!J640</f>
        <v>75.658815487267447</v>
      </c>
      <c r="AE37" s="10">
        <f t="shared" si="10"/>
        <v>3.9449281658128683</v>
      </c>
      <c r="AF37" s="10">
        <f>Assumptions!$E$16</f>
        <v>0.5</v>
      </c>
      <c r="AG37" s="10">
        <f t="shared" si="3"/>
        <v>8.678128691009257E-3</v>
      </c>
      <c r="AH37" s="10">
        <f t="shared" si="11"/>
        <v>8.678128691009257E-3</v>
      </c>
      <c r="AI37" s="10">
        <f>'PDB_woody perennials'!K537</f>
        <v>1.1432227209030041E-3</v>
      </c>
      <c r="AJ37" s="80">
        <f>'PDB_woody perennials'!G537</f>
        <v>46.590735465599998</v>
      </c>
      <c r="AK37" s="58">
        <f>'PDB_woody perennials'!J537</f>
        <v>71.713887321454578</v>
      </c>
      <c r="AL37" s="10">
        <f>AK37-'BR_woody perennials'!AH27</f>
        <v>3.6200431258161387</v>
      </c>
      <c r="AM37" s="10">
        <f>Assumptions!$E$16</f>
        <v>0.5</v>
      </c>
      <c r="AN37" s="10">
        <f t="shared" si="4"/>
        <v>7.5872785121498601E-3</v>
      </c>
      <c r="AO37" s="10">
        <f t="shared" si="12"/>
        <v>7.5872785121498601E-3</v>
      </c>
    </row>
    <row r="38" spans="1:41" x14ac:dyDescent="0.2">
      <c r="A38" s="585"/>
      <c r="B38" s="585"/>
      <c r="C38" s="585"/>
      <c r="D38" s="585"/>
      <c r="E38" s="588"/>
      <c r="F38" s="55" t="s">
        <v>176</v>
      </c>
      <c r="G38" s="10">
        <v>0</v>
      </c>
      <c r="H38" s="80">
        <v>0</v>
      </c>
      <c r="I38" s="10">
        <v>0</v>
      </c>
      <c r="J38" s="10">
        <f t="shared" si="14"/>
        <v>-3571.5</v>
      </c>
      <c r="K38" s="10">
        <f>Assumptions!$E$16</f>
        <v>0.5</v>
      </c>
      <c r="L38" s="10">
        <f t="shared" si="16"/>
        <v>0</v>
      </c>
      <c r="M38" s="10">
        <f t="shared" si="17"/>
        <v>0</v>
      </c>
      <c r="N38" s="10">
        <f>'PDB_woody perennials'!K847</f>
        <v>3.3452000000000003E-2</v>
      </c>
      <c r="O38" s="80">
        <f>'PDB_woody perennials'!G847</f>
        <v>49</v>
      </c>
      <c r="P38" s="10">
        <f>'PDB_woody perennials'!J847</f>
        <v>3571.5</v>
      </c>
      <c r="Q38" s="10">
        <f t="shared" si="6"/>
        <v>209.01923757894929</v>
      </c>
      <c r="R38" s="10">
        <f>Assumptions!$E$16</f>
        <v>0.5</v>
      </c>
      <c r="S38" s="10">
        <f t="shared" si="1"/>
        <v>12.81887114840019</v>
      </c>
      <c r="T38" s="10">
        <f t="shared" si="7"/>
        <v>12.81887114840019</v>
      </c>
      <c r="U38" s="10">
        <f>'PDB_woody perennials'!K744</f>
        <v>3.1677514416865553E-2</v>
      </c>
      <c r="V38" s="80">
        <f>'PDB_woody perennials'!G744</f>
        <v>48.216200000000001</v>
      </c>
      <c r="W38" s="58">
        <f>'PDB_woody perennials'!J744</f>
        <v>3362.4807624210507</v>
      </c>
      <c r="X38" s="10">
        <f t="shared" si="8"/>
        <v>196.77936623167216</v>
      </c>
      <c r="Y38" s="10">
        <f>Assumptions!$E$16</f>
        <v>0.5</v>
      </c>
      <c r="Z38" s="10">
        <f t="shared" si="2"/>
        <v>11.42804888636668</v>
      </c>
      <c r="AA38" s="10">
        <f t="shared" si="9"/>
        <v>11.42804888636668</v>
      </c>
      <c r="AB38" s="10">
        <f>'PDB_woody perennials'!K641</f>
        <v>2.9997534439103933E-2</v>
      </c>
      <c r="AC38" s="80">
        <f>'PDB_woody perennials'!G641</f>
        <v>47.348308400000001</v>
      </c>
      <c r="AD38" s="58">
        <f>'PDB_woody perennials'!J641</f>
        <v>3165.7013961893786</v>
      </c>
      <c r="AE38" s="10">
        <f t="shared" si="10"/>
        <v>165.06291463791558</v>
      </c>
      <c r="AF38" s="10">
        <f>Assumptions!$E$16</f>
        <v>0.5</v>
      </c>
      <c r="AG38" s="10">
        <f t="shared" si="3"/>
        <v>9.0777141885278674</v>
      </c>
      <c r="AH38" s="10">
        <f t="shared" si="11"/>
        <v>9.0777141885278674</v>
      </c>
      <c r="AI38" s="10">
        <f>'PDB_woody perennials'!K538</f>
        <v>2.8580568022575106E-2</v>
      </c>
      <c r="AJ38" s="80">
        <f>'PDB_woody perennials'!G538</f>
        <v>46.590735465599998</v>
      </c>
      <c r="AK38" s="58">
        <f>'PDB_woody perennials'!J538</f>
        <v>3000.638481551463</v>
      </c>
      <c r="AL38" s="10">
        <f>AK38-'BR_woody perennials'!AH28</f>
        <v>151.46913818113035</v>
      </c>
      <c r="AM38" s="10">
        <f>Assumptions!$E$16</f>
        <v>0.5</v>
      </c>
      <c r="AN38" s="10">
        <f t="shared" si="4"/>
        <v>7.9366356796954776</v>
      </c>
      <c r="AO38" s="10">
        <f t="shared" si="12"/>
        <v>7.9366356796954776</v>
      </c>
    </row>
    <row r="39" spans="1:41" x14ac:dyDescent="0.2">
      <c r="A39" s="585"/>
      <c r="B39" s="585"/>
      <c r="C39" s="585"/>
      <c r="D39" s="585"/>
      <c r="E39" s="588"/>
      <c r="F39" s="55" t="s">
        <v>177</v>
      </c>
      <c r="G39" s="10">
        <v>0</v>
      </c>
      <c r="H39" s="80">
        <v>0</v>
      </c>
      <c r="I39" s="10">
        <v>0</v>
      </c>
      <c r="J39" s="10">
        <f t="shared" si="14"/>
        <v>-1237.8</v>
      </c>
      <c r="K39" s="10">
        <f>Assumptions!$E$16</f>
        <v>0.5</v>
      </c>
      <c r="L39" s="10">
        <f t="shared" si="16"/>
        <v>0</v>
      </c>
      <c r="M39" s="10">
        <f t="shared" si="17"/>
        <v>0</v>
      </c>
      <c r="N39" s="10">
        <f>'PDB_woody perennials'!K848</f>
        <v>1.3417999999999999E-2</v>
      </c>
      <c r="O39" s="80">
        <f>'PDB_woody perennials'!G848</f>
        <v>49</v>
      </c>
      <c r="P39" s="10">
        <f>'PDB_woody perennials'!J848</f>
        <v>1237.8</v>
      </c>
      <c r="Q39" s="10">
        <f t="shared" si="6"/>
        <v>72.475568866544563</v>
      </c>
      <c r="R39" s="10">
        <f>Assumptions!$E$16</f>
        <v>0.5</v>
      </c>
      <c r="S39" s="10">
        <f t="shared" si="1"/>
        <v>1.7828748355940407</v>
      </c>
      <c r="T39" s="10">
        <f t="shared" si="7"/>
        <v>1.7828748355940407</v>
      </c>
      <c r="U39" s="10">
        <f>'PDB_woody perennials'!K745</f>
        <v>1.2706203004987185E-2</v>
      </c>
      <c r="V39" s="80">
        <f>'PDB_woody perennials'!G745</f>
        <v>48.216200000000001</v>
      </c>
      <c r="W39" s="58">
        <f>'PDB_woody perennials'!J745</f>
        <v>1165.3244311334554</v>
      </c>
      <c r="X39" s="10">
        <f t="shared" si="8"/>
        <v>68.19720891060706</v>
      </c>
      <c r="Y39" s="10">
        <f>Assumptions!$E$16</f>
        <v>0.5</v>
      </c>
      <c r="Z39" s="10">
        <f t="shared" si="2"/>
        <v>1.5886338981181061</v>
      </c>
      <c r="AA39" s="10">
        <f t="shared" si="9"/>
        <v>1.5886338981181061</v>
      </c>
      <c r="AB39" s="10">
        <f>'PDB_woody perennials'!K642</f>
        <v>1.2032344369462798E-2</v>
      </c>
      <c r="AC39" s="80">
        <f>'PDB_woody perennials'!G642</f>
        <v>47.348308400000001</v>
      </c>
      <c r="AD39" s="58">
        <f>'PDB_woody perennials'!J642</f>
        <v>1097.1272222228483</v>
      </c>
      <c r="AE39" s="10">
        <f t="shared" si="10"/>
        <v>57.205337574379428</v>
      </c>
      <c r="AF39" s="10">
        <f>Assumptions!$E$16</f>
        <v>0.5</v>
      </c>
      <c r="AG39" s="10">
        <f t="shared" si="3"/>
        <v>1.2619095893548886</v>
      </c>
      <c r="AH39" s="10">
        <f t="shared" si="11"/>
        <v>1.2619095893548886</v>
      </c>
      <c r="AI39" s="10">
        <f>'PDB_woody perennials'!K539</f>
        <v>1.1463983395721791E-2</v>
      </c>
      <c r="AJ39" s="80">
        <f>'PDB_woody perennials'!G539</f>
        <v>46.590735465599998</v>
      </c>
      <c r="AK39" s="58">
        <f>'PDB_woody perennials'!J539</f>
        <v>1039.9218846484689</v>
      </c>
      <c r="AL39" s="10">
        <f>AK39-'BR_woody perennials'!AH29</f>
        <v>52.494185024902663</v>
      </c>
      <c r="AM39" s="10">
        <f>Assumptions!$E$16</f>
        <v>0.5</v>
      </c>
      <c r="AN39" s="10">
        <f t="shared" si="4"/>
        <v>1.1032861867452912</v>
      </c>
      <c r="AO39" s="10">
        <f t="shared" si="12"/>
        <v>1.1032861867452912</v>
      </c>
    </row>
    <row r="40" spans="1:41" x14ac:dyDescent="0.2">
      <c r="A40" s="586"/>
      <c r="B40" s="586"/>
      <c r="C40" s="586"/>
      <c r="D40" s="586"/>
      <c r="E40" s="589"/>
      <c r="F40" s="55" t="s">
        <v>323</v>
      </c>
      <c r="G40" s="10">
        <v>0</v>
      </c>
      <c r="H40" s="80">
        <v>0</v>
      </c>
      <c r="I40" s="10">
        <v>0</v>
      </c>
      <c r="J40" s="10">
        <v>0</v>
      </c>
      <c r="K40" s="10">
        <f>Assumptions!$E$16</f>
        <v>0.5</v>
      </c>
      <c r="L40" s="10">
        <v>0</v>
      </c>
      <c r="M40" s="10">
        <v>0</v>
      </c>
      <c r="N40" s="10"/>
      <c r="O40" s="76"/>
      <c r="P40" s="10"/>
      <c r="Q40" s="10"/>
      <c r="R40" s="10">
        <f>Assumptions!$E$16</f>
        <v>0.5</v>
      </c>
      <c r="S40" s="10"/>
      <c r="T40" s="10"/>
      <c r="U40" s="10"/>
      <c r="V40" s="76"/>
      <c r="W40" s="58"/>
      <c r="X40" s="10"/>
      <c r="Y40" s="10">
        <f>Assumptions!$E$16</f>
        <v>0.5</v>
      </c>
      <c r="Z40" s="10"/>
      <c r="AA40" s="10"/>
      <c r="AB40" s="10"/>
      <c r="AC40" s="76"/>
      <c r="AD40" s="58"/>
      <c r="AE40" s="10"/>
      <c r="AF40" s="10">
        <f>Assumptions!$E$16</f>
        <v>0.5</v>
      </c>
      <c r="AG40" s="10"/>
      <c r="AH40" s="10"/>
      <c r="AI40" s="10"/>
      <c r="AJ40" s="76"/>
      <c r="AK40" s="58"/>
      <c r="AL40" s="10"/>
      <c r="AM40" s="10">
        <f>Assumptions!$E$16</f>
        <v>0.5</v>
      </c>
      <c r="AN40" s="10"/>
      <c r="AO40" s="10"/>
    </row>
    <row r="41" spans="1:41" x14ac:dyDescent="0.2">
      <c r="A41" s="582" t="s">
        <v>12</v>
      </c>
      <c r="B41" s="582"/>
      <c r="C41" s="582"/>
      <c r="D41" s="582" t="s">
        <v>34</v>
      </c>
      <c r="E41" s="583">
        <f>Assumptions!D64</f>
        <v>1612.0500000000002</v>
      </c>
      <c r="F41" s="56" t="s">
        <v>305</v>
      </c>
      <c r="G41" s="10">
        <v>0</v>
      </c>
      <c r="H41" s="80">
        <v>0</v>
      </c>
      <c r="I41" s="10"/>
      <c r="J41" s="10">
        <f t="shared" si="14"/>
        <v>-1952.9</v>
      </c>
      <c r="K41" s="10">
        <f>Assumptions!$E$16</f>
        <v>0.5</v>
      </c>
      <c r="L41" s="10">
        <f t="shared" si="16"/>
        <v>0</v>
      </c>
      <c r="M41" s="10">
        <f t="shared" si="17"/>
        <v>0</v>
      </c>
      <c r="N41" s="10">
        <f>'PDB_woody perennials'!K849</f>
        <v>2.9139999999999999E-2</v>
      </c>
      <c r="O41" s="80">
        <f>'PDB_woody perennials'!G849</f>
        <v>786</v>
      </c>
      <c r="P41" s="10">
        <f>'PDB_woody perennials'!J849</f>
        <v>1952.9</v>
      </c>
      <c r="Q41" s="10">
        <f t="shared" si="6"/>
        <v>114.30560065589611</v>
      </c>
      <c r="R41" s="10">
        <f>Assumptions!$E$16</f>
        <v>0.5</v>
      </c>
      <c r="S41" s="10">
        <f t="shared" si="1"/>
        <v>6.1065862057068232</v>
      </c>
      <c r="T41" s="10">
        <f t="shared" si="7"/>
        <v>6.1065862057068232</v>
      </c>
      <c r="U41" s="10">
        <f>'PDB_woody perennials'!K746</f>
        <v>2.7594634780913986E-2</v>
      </c>
      <c r="V41" s="80">
        <f>'PDB_woody perennials'!G746</f>
        <v>771.45920000000001</v>
      </c>
      <c r="W41" s="58">
        <f>'PDB_woody perennials'!J746</f>
        <v>1838.594399344104</v>
      </c>
      <c r="X41" s="10">
        <f t="shared" si="8"/>
        <v>107.59836746233827</v>
      </c>
      <c r="Y41" s="10">
        <f>Assumptions!$E$16</f>
        <v>0.5</v>
      </c>
      <c r="Z41" s="10">
        <f t="shared" si="2"/>
        <v>5.4434190307673065</v>
      </c>
      <c r="AA41" s="10">
        <f t="shared" si="9"/>
        <v>5.4434190307673065</v>
      </c>
      <c r="AB41" s="10">
        <f>'PDB_woody perennials'!K643</f>
        <v>2.6131185555841634E-2</v>
      </c>
      <c r="AC41" s="80">
        <f>'PDB_woody perennials'!G643</f>
        <v>757.57293440000001</v>
      </c>
      <c r="AD41" s="58">
        <f>'PDB_woody perennials'!J643</f>
        <v>1730.9960318817657</v>
      </c>
      <c r="AE41" s="10">
        <f t="shared" si="10"/>
        <v>90.255906824630529</v>
      </c>
      <c r="AF41" s="10">
        <f>Assumptions!$E$16</f>
        <v>0.5</v>
      </c>
      <c r="AG41" s="10">
        <f t="shared" si="3"/>
        <v>4.3239053893661525</v>
      </c>
      <c r="AH41" s="10">
        <f t="shared" si="11"/>
        <v>4.3239053893661525</v>
      </c>
      <c r="AI41" s="10">
        <f>'PDB_woody perennials'!K540</f>
        <v>2.4896850366332088E-2</v>
      </c>
      <c r="AJ41" s="80">
        <f>'PDB_woody perennials'!G540</f>
        <v>745.45176744959997</v>
      </c>
      <c r="AK41" s="58">
        <f>'PDB_woody perennials'!J540</f>
        <v>1640.7401250571352</v>
      </c>
      <c r="AL41" s="10">
        <f>AK41-'BR_woody perennials'!AH30</f>
        <v>82.822870615555757</v>
      </c>
      <c r="AM41" s="10">
        <f>Assumptions!$E$16</f>
        <v>0.5</v>
      </c>
      <c r="AN41" s="10">
        <f t="shared" si="4"/>
        <v>3.7803857971468862</v>
      </c>
      <c r="AO41" s="10">
        <f t="shared" si="12"/>
        <v>3.7803857971468862</v>
      </c>
    </row>
    <row r="42" spans="1:41" x14ac:dyDescent="0.2">
      <c r="A42" s="516"/>
      <c r="B42" s="516"/>
      <c r="C42" s="516"/>
      <c r="D42" s="516"/>
      <c r="E42" s="518"/>
      <c r="F42" t="s">
        <v>373</v>
      </c>
      <c r="G42" s="10">
        <f>'PDB_woody perennials'!K950</f>
        <v>1.5386000000000002E-2</v>
      </c>
      <c r="H42" s="80">
        <f>'PDB_woody perennials'!G950</f>
        <v>400</v>
      </c>
      <c r="I42" s="10">
        <f>'PDB_woody perennials'!J950</f>
        <v>1037.1358781457916</v>
      </c>
      <c r="J42" s="10">
        <f t="shared" si="14"/>
        <v>688.33587814579164</v>
      </c>
      <c r="K42" s="10">
        <f>Assumptions!$E$16</f>
        <v>0.5</v>
      </c>
      <c r="L42" s="10">
        <f t="shared" si="16"/>
        <v>19.416349005443777</v>
      </c>
      <c r="M42" s="10">
        <f t="shared" si="17"/>
        <v>19.416349005443777</v>
      </c>
      <c r="N42" s="10">
        <f>'PDB_woody perennials'!K850</f>
        <v>5.6220000000000003E-3</v>
      </c>
      <c r="O42" s="80">
        <f>'PDB_woody perennials'!G850</f>
        <v>246</v>
      </c>
      <c r="P42" s="10">
        <f>'PDB_woody perennials'!J850</f>
        <v>348.8</v>
      </c>
      <c r="Q42" s="10">
        <f t="shared" si="6"/>
        <v>20.440231108999569</v>
      </c>
      <c r="R42" s="10">
        <f>Assumptions!$E$16</f>
        <v>0.5</v>
      </c>
      <c r="S42" s="10">
        <f t="shared" si="1"/>
        <v>0.21067746204045856</v>
      </c>
      <c r="T42" s="10">
        <f t="shared" si="7"/>
        <v>0.21067746204045856</v>
      </c>
      <c r="U42" s="10">
        <f>'PDB_woody perennials'!K747</f>
        <v>5.3235822839454586E-3</v>
      </c>
      <c r="V42" s="80">
        <f>'PDB_woody perennials'!G747</f>
        <v>241.08099999999999</v>
      </c>
      <c r="W42" s="58">
        <f>'PDB_woody perennials'!J747</f>
        <v>328.35976889100044</v>
      </c>
      <c r="X42" s="10">
        <f t="shared" si="8"/>
        <v>19.216296473864702</v>
      </c>
      <c r="Y42" s="10">
        <f>Assumptions!$E$16</f>
        <v>0.5</v>
      </c>
      <c r="Z42" s="10">
        <f t="shared" si="2"/>
        <v>0.1875491483640678</v>
      </c>
      <c r="AA42" s="10">
        <f t="shared" si="9"/>
        <v>0.1875491483640678</v>
      </c>
      <c r="AB42" s="10">
        <f>'PDB_woody perennials'!K644</f>
        <v>5.0412523154605192E-3</v>
      </c>
      <c r="AC42" s="80">
        <f>'PDB_woody perennials'!G644</f>
        <v>236.74154199999998</v>
      </c>
      <c r="AD42" s="58">
        <f>'PDB_woody perennials'!J644</f>
        <v>309.14347241713574</v>
      </c>
      <c r="AE42" s="10">
        <f t="shared" si="10"/>
        <v>16.119057425909432</v>
      </c>
      <c r="AF42" s="10">
        <f>Assumptions!$E$16</f>
        <v>0.5</v>
      </c>
      <c r="AG42" s="10">
        <f t="shared" si="3"/>
        <v>0.14897709854757951</v>
      </c>
      <c r="AH42" s="10">
        <f t="shared" si="11"/>
        <v>0.14897709854757951</v>
      </c>
      <c r="AI42" s="10">
        <f>'PDB_woody perennials'!K541</f>
        <v>4.8031232371272027E-3</v>
      </c>
      <c r="AJ42" s="80">
        <f>'PDB_woody perennials'!G541</f>
        <v>232.95367732799997</v>
      </c>
      <c r="AK42" s="58">
        <f>'PDB_woody perennials'!J541</f>
        <v>293.02441499122631</v>
      </c>
      <c r="AL42" s="10">
        <f>AK42-'BR_woody perennials'!AH31</f>
        <v>14.791570486626028</v>
      </c>
      <c r="AM42" s="10">
        <f>Assumptions!$E$16</f>
        <v>0.5</v>
      </c>
      <c r="AN42" s="10">
        <f t="shared" si="4"/>
        <v>0.13025051584951708</v>
      </c>
      <c r="AO42" s="10">
        <f t="shared" si="12"/>
        <v>0.13025051584951708</v>
      </c>
    </row>
    <row r="43" spans="1:41" x14ac:dyDescent="0.2">
      <c r="A43" s="516"/>
      <c r="B43" s="516"/>
      <c r="C43" s="516"/>
      <c r="D43" s="516"/>
      <c r="E43" s="518"/>
      <c r="F43" t="s">
        <v>374</v>
      </c>
      <c r="G43" s="10">
        <f>'PDB_woody perennials'!K951</f>
        <v>1.1873125000000002E-3</v>
      </c>
      <c r="H43" s="80">
        <f>'PDB_woody perennials'!G951</f>
        <v>50</v>
      </c>
      <c r="I43" s="10">
        <f>'PDB_woody perennials'!J951</f>
        <v>74.090010799120307</v>
      </c>
      <c r="J43" s="10">
        <f t="shared" si="14"/>
        <v>-3635.20998920088</v>
      </c>
      <c r="K43" s="10">
        <f>Assumptions!$E$16</f>
        <v>0.5</v>
      </c>
      <c r="L43" s="10">
        <f t="shared" si="16"/>
        <v>-7.9129054772222966</v>
      </c>
      <c r="M43" s="10">
        <f t="shared" si="17"/>
        <v>-7.9129054772222966</v>
      </c>
      <c r="N43" s="10">
        <f>'PDB_woody perennials'!K851</f>
        <v>5.9445999999999999E-2</v>
      </c>
      <c r="O43" s="80">
        <f>'PDB_woody perennials'!G851</f>
        <v>2504</v>
      </c>
      <c r="P43" s="10">
        <f>'PDB_woody perennials'!J851</f>
        <v>3709.3</v>
      </c>
      <c r="Q43" s="10">
        <f t="shared" si="6"/>
        <v>217.0534569748811</v>
      </c>
      <c r="R43" s="10">
        <f>Assumptions!$E$16</f>
        <v>0.5</v>
      </c>
      <c r="S43" s="10">
        <f t="shared" si="1"/>
        <v>23.655426306102768</v>
      </c>
      <c r="T43" s="10">
        <f t="shared" si="7"/>
        <v>23.655426306102768</v>
      </c>
      <c r="U43" s="10">
        <f>'PDB_woody perennials'!K748</f>
        <v>5.6293054953064525E-2</v>
      </c>
      <c r="V43" s="80">
        <f>'PDB_woody perennials'!G748</f>
        <v>2459.0261999999998</v>
      </c>
      <c r="W43" s="58">
        <f>'PDB_woody perennials'!J748</f>
        <v>3492.2465430251191</v>
      </c>
      <c r="X43" s="10">
        <f t="shared" si="8"/>
        <v>204.37352955037659</v>
      </c>
      <c r="Y43" s="10">
        <f>Assumptions!$E$16</f>
        <v>0.5</v>
      </c>
      <c r="Z43" s="10">
        <f t="shared" si="2"/>
        <v>21.09215227154036</v>
      </c>
      <c r="AA43" s="10">
        <f t="shared" si="9"/>
        <v>21.09215227154036</v>
      </c>
      <c r="AB43" s="10">
        <f>'PDB_woody perennials'!K645</f>
        <v>5.3307618533916933E-2</v>
      </c>
      <c r="AC43" s="80">
        <f>'PDB_woody perennials'!G645</f>
        <v>2414.7637283999998</v>
      </c>
      <c r="AD43" s="58">
        <f>'PDB_woody perennials'!J645</f>
        <v>3287.8730134747425</v>
      </c>
      <c r="AE43" s="10">
        <f t="shared" si="10"/>
        <v>171.43306795035596</v>
      </c>
      <c r="AF43" s="10">
        <f>Assumptions!$E$16</f>
        <v>0.5</v>
      </c>
      <c r="AG43" s="10">
        <f t="shared" si="3"/>
        <v>16.754262415727165</v>
      </c>
      <c r="AH43" s="10">
        <f t="shared" si="11"/>
        <v>16.754262415727165</v>
      </c>
      <c r="AI43" s="10">
        <f>'PDB_woody perennials'!K542</f>
        <v>5.0789574747317462E-2</v>
      </c>
      <c r="AJ43" s="80">
        <f>'PDB_woody perennials'!G542</f>
        <v>2376.1275087455997</v>
      </c>
      <c r="AK43" s="58">
        <f>'PDB_woody perennials'!J542</f>
        <v>3116.4399455243865</v>
      </c>
      <c r="AL43" s="10">
        <f>AK43-'BR_woody perennials'!AH32</f>
        <v>157.3146767409844</v>
      </c>
      <c r="AM43" s="10">
        <f>Assumptions!$E$16</f>
        <v>0.5</v>
      </c>
      <c r="AN43" s="10">
        <f t="shared" si="4"/>
        <v>14.648233477508237</v>
      </c>
      <c r="AO43" s="10">
        <f t="shared" si="12"/>
        <v>14.648233477508237</v>
      </c>
    </row>
    <row r="44" spans="1:41" ht="26" x14ac:dyDescent="0.2">
      <c r="A44" s="75" t="s">
        <v>13</v>
      </c>
      <c r="B44" s="75"/>
      <c r="C44" s="75"/>
      <c r="D44" s="75" t="s">
        <v>34</v>
      </c>
      <c r="E44" s="486">
        <f>Assumptions!D65</f>
        <v>353.58800000000002</v>
      </c>
      <c r="F44" s="56" t="s">
        <v>323</v>
      </c>
      <c r="G44" s="10">
        <f>'PDB_woody perennials'!K952</f>
        <v>0</v>
      </c>
      <c r="H44" s="80">
        <f>'PDB_woody perennials'!G952</f>
        <v>0</v>
      </c>
      <c r="I44" s="10">
        <f>'PDB_woody perennials'!J952</f>
        <v>0</v>
      </c>
      <c r="J44" s="10">
        <v>0</v>
      </c>
      <c r="K44" s="10">
        <f>Assumptions!$E$16</f>
        <v>0.5</v>
      </c>
      <c r="L44" s="10">
        <f t="shared" si="16"/>
        <v>0</v>
      </c>
      <c r="M44" s="10">
        <f t="shared" si="17"/>
        <v>0</v>
      </c>
      <c r="N44" s="10">
        <f>'PDB_woody perennials'!K852</f>
        <v>0</v>
      </c>
      <c r="O44" s="80">
        <f>'PDB_woody perennials'!G852</f>
        <v>0</v>
      </c>
      <c r="P44" s="10">
        <f>'PDB_woody perennials'!J852</f>
        <v>0</v>
      </c>
      <c r="Q44" s="10">
        <f t="shared" si="6"/>
        <v>0</v>
      </c>
      <c r="R44" s="10">
        <f>Assumptions!$E$16</f>
        <v>0.5</v>
      </c>
      <c r="S44" s="10">
        <f t="shared" si="1"/>
        <v>0</v>
      </c>
      <c r="T44" s="10">
        <f t="shared" si="7"/>
        <v>0</v>
      </c>
      <c r="U44" s="10">
        <f>'PDB_woody perennials'!K749</f>
        <v>0</v>
      </c>
      <c r="V44" s="80">
        <f>'PDB_woody perennials'!G749</f>
        <v>0</v>
      </c>
      <c r="W44" s="58">
        <f>'PDB_woody perennials'!J749</f>
        <v>0</v>
      </c>
      <c r="X44" s="10">
        <f t="shared" si="8"/>
        <v>0</v>
      </c>
      <c r="Y44" s="10">
        <f>Assumptions!$E$16</f>
        <v>0.5</v>
      </c>
      <c r="Z44" s="10">
        <f t="shared" si="2"/>
        <v>0</v>
      </c>
      <c r="AA44" s="10">
        <f t="shared" si="9"/>
        <v>0</v>
      </c>
      <c r="AB44" s="10">
        <f>'PDB_woody perennials'!K646</f>
        <v>0</v>
      </c>
      <c r="AC44" s="80">
        <f>'PDB_woody perennials'!G646</f>
        <v>0</v>
      </c>
      <c r="AD44" s="58">
        <f>'PDB_woody perennials'!J646</f>
        <v>0</v>
      </c>
      <c r="AE44" s="10">
        <f t="shared" si="10"/>
        <v>0</v>
      </c>
      <c r="AF44" s="10">
        <f>Assumptions!$E$16</f>
        <v>0.5</v>
      </c>
      <c r="AG44" s="10">
        <f t="shared" si="3"/>
        <v>0</v>
      </c>
      <c r="AH44" s="10">
        <f t="shared" si="11"/>
        <v>0</v>
      </c>
      <c r="AI44" s="10">
        <f>'PDB_woody perennials'!K543</f>
        <v>0</v>
      </c>
      <c r="AJ44" s="80">
        <f>'PDB_woody perennials'!G543</f>
        <v>0</v>
      </c>
      <c r="AK44" s="58">
        <f>'PDB_woody perennials'!J543</f>
        <v>0</v>
      </c>
      <c r="AL44" s="10">
        <f>AK44-'BR_woody perennials'!AH33</f>
        <v>0</v>
      </c>
      <c r="AM44" s="10">
        <f>Assumptions!$E$16</f>
        <v>0.5</v>
      </c>
      <c r="AN44" s="10">
        <f t="shared" si="4"/>
        <v>0</v>
      </c>
      <c r="AO44" s="10">
        <f t="shared" si="12"/>
        <v>0</v>
      </c>
    </row>
    <row r="45" spans="1:41" x14ac:dyDescent="0.2">
      <c r="A45" s="582" t="s">
        <v>14</v>
      </c>
      <c r="B45" s="582"/>
      <c r="C45" s="582"/>
      <c r="D45" s="582" t="s">
        <v>35</v>
      </c>
      <c r="E45" s="583">
        <f>Assumptions!D66</f>
        <v>4915.7929999999997</v>
      </c>
      <c r="F45" s="55" t="s">
        <v>178</v>
      </c>
      <c r="G45" s="10">
        <f>'PDB_woody perennials'!K953</f>
        <v>1.4496909140391121E-2</v>
      </c>
      <c r="H45" s="80">
        <f>'PDB_woody perennials'!G953</f>
        <v>237.20349563046193</v>
      </c>
      <c r="I45" s="10">
        <f>'PDB_woody perennials'!J953</f>
        <v>1052.3483450188887</v>
      </c>
      <c r="J45" s="10">
        <f t="shared" si="14"/>
        <v>-2706.8516549811111</v>
      </c>
      <c r="K45" s="10">
        <f>Assumptions!$E$16</f>
        <v>0.5</v>
      </c>
      <c r="L45" s="10">
        <f t="shared" si="16"/>
        <v>-71.94180124776058</v>
      </c>
      <c r="M45" s="10">
        <f t="shared" si="17"/>
        <v>-71.94180124776058</v>
      </c>
      <c r="N45" s="10">
        <f>'PDB_woody perennials'!K853</f>
        <v>5.2087000000000001E-2</v>
      </c>
      <c r="O45" s="80">
        <f>'PDB_woody perennials'!G853</f>
        <v>884</v>
      </c>
      <c r="P45" s="10">
        <f>'PDB_woody perennials'!J853</f>
        <v>3759.2</v>
      </c>
      <c r="Q45" s="10">
        <f t="shared" si="6"/>
        <v>220.03161438020061</v>
      </c>
      <c r="R45" s="10">
        <f>Assumptions!$E$16</f>
        <v>0.5</v>
      </c>
      <c r="S45" s="10">
        <f t="shared" si="1"/>
        <v>21.011442280072767</v>
      </c>
      <c r="T45" s="10">
        <f t="shared" si="7"/>
        <v>21.011442280072767</v>
      </c>
      <c r="U45" s="10">
        <f>'PDB_woody perennials'!K750</f>
        <v>4.9324849438025932E-2</v>
      </c>
      <c r="V45" s="80">
        <f>'PDB_woody perennials'!G750</f>
        <v>867.89159999999993</v>
      </c>
      <c r="W45" s="58">
        <f>'PDB_woody perennials'!J750</f>
        <v>3539.1683856197992</v>
      </c>
      <c r="X45" s="10">
        <f t="shared" si="8"/>
        <v>207.11949334930523</v>
      </c>
      <c r="Y45" s="10">
        <f>Assumptions!$E$16</f>
        <v>0.5</v>
      </c>
      <c r="Z45" s="10">
        <f t="shared" si="2"/>
        <v>18.729586012746939</v>
      </c>
      <c r="AA45" s="10">
        <f t="shared" si="9"/>
        <v>18.729586012746939</v>
      </c>
      <c r="AB45" s="10">
        <f>'PDB_woody perennials'!K647</f>
        <v>4.670896365950436E-2</v>
      </c>
      <c r="AC45" s="80">
        <f>'PDB_woody perennials'!G647</f>
        <v>852.26955119999991</v>
      </c>
      <c r="AD45" s="58">
        <f>'PDB_woody perennials'!J647</f>
        <v>3332.048892270494</v>
      </c>
      <c r="AE45" s="10">
        <f t="shared" si="10"/>
        <v>173.73644353705231</v>
      </c>
      <c r="AF45" s="10">
        <f>Assumptions!$E$16</f>
        <v>0.5</v>
      </c>
      <c r="AG45" s="10">
        <f t="shared" si="3"/>
        <v>14.877590250423465</v>
      </c>
      <c r="AH45" s="10">
        <f t="shared" si="11"/>
        <v>14.877590250423465</v>
      </c>
      <c r="AI45" s="10">
        <f>'PDB_woody perennials'!K544</f>
        <v>4.4502614568023499E-2</v>
      </c>
      <c r="AJ45" s="80">
        <f>'PDB_woody perennials'!G544</f>
        <v>838.63323838079987</v>
      </c>
      <c r="AK45" s="58">
        <f>'PDB_woody perennials'!J544</f>
        <v>3158.3124487334417</v>
      </c>
      <c r="AL45" s="10">
        <f>AK45-'BR_woody perennials'!AH34</f>
        <v>159.42835755043234</v>
      </c>
      <c r="AM45" s="10">
        <f>Assumptions!$E$16</f>
        <v>0.5</v>
      </c>
      <c r="AN45" s="10">
        <f t="shared" si="4"/>
        <v>13.007461036679871</v>
      </c>
      <c r="AO45" s="10">
        <f t="shared" si="12"/>
        <v>13.007461036679871</v>
      </c>
    </row>
    <row r="46" spans="1:41" x14ac:dyDescent="0.2">
      <c r="A46" s="516"/>
      <c r="B46" s="516"/>
      <c r="C46" s="516"/>
      <c r="D46" s="516"/>
      <c r="E46" s="518"/>
      <c r="F46" s="55" t="s">
        <v>179</v>
      </c>
      <c r="G46" s="10">
        <f>'PDB_woody perennials'!K954</f>
        <v>3.3034600997506242E-3</v>
      </c>
      <c r="H46" s="80">
        <f>'PDB_woody perennials'!G954</f>
        <v>74.812967581047388</v>
      </c>
      <c r="I46" s="10">
        <f>'PDB_woody perennials'!J954</f>
        <v>227.64977598773703</v>
      </c>
      <c r="J46" s="10">
        <f t="shared" si="14"/>
        <v>-1491.2502240122631</v>
      </c>
      <c r="K46" s="10">
        <f>Assumptions!$E$16</f>
        <v>0.5</v>
      </c>
      <c r="L46" s="10">
        <f t="shared" si="16"/>
        <v>-9.0315236252426008</v>
      </c>
      <c r="M46" s="10">
        <f t="shared" si="17"/>
        <v>-9.0315236252426008</v>
      </c>
      <c r="N46" s="10">
        <f>'PDB_woody perennials'!K854</f>
        <v>2.5089E-2</v>
      </c>
      <c r="O46" s="80">
        <f>'PDB_woody perennials'!G854</f>
        <v>589</v>
      </c>
      <c r="P46" s="10">
        <f>'PDB_woody perennials'!J854</f>
        <v>1718.9</v>
      </c>
      <c r="Q46" s="10">
        <f t="shared" si="6"/>
        <v>100.58941604441111</v>
      </c>
      <c r="R46" s="10">
        <f>Assumptions!$E$16</f>
        <v>0.5</v>
      </c>
      <c r="S46" s="10">
        <f t="shared" si="1"/>
        <v>4.6267610750867556</v>
      </c>
      <c r="T46" s="10">
        <f t="shared" si="7"/>
        <v>4.6267610750867556</v>
      </c>
      <c r="U46" s="10">
        <f>'PDB_woody perennials'!K751</f>
        <v>2.375813581264917E-2</v>
      </c>
      <c r="V46" s="80">
        <f>'PDB_woody perennials'!G751</f>
        <v>578.59440000000006</v>
      </c>
      <c r="W46" s="58">
        <f>'PDB_woody perennials'!J751</f>
        <v>1618.310583955589</v>
      </c>
      <c r="X46" s="10">
        <f t="shared" si="8"/>
        <v>94.706900522903879</v>
      </c>
      <c r="Y46" s="10">
        <f>Assumptions!$E$16</f>
        <v>0.5</v>
      </c>
      <c r="Z46" s="10">
        <f t="shared" si="2"/>
        <v>4.1251089092000424</v>
      </c>
      <c r="AA46" s="10">
        <f t="shared" si="9"/>
        <v>4.1251089092000424</v>
      </c>
      <c r="AB46" s="10">
        <f>'PDB_woody perennials'!K648</f>
        <v>2.2498150829327952E-2</v>
      </c>
      <c r="AC46" s="80">
        <f>'PDB_woody perennials'!G648</f>
        <v>568.17970080000009</v>
      </c>
      <c r="AD46" s="58">
        <f>'PDB_woody perennials'!J648</f>
        <v>1523.6036834326851</v>
      </c>
      <c r="AE46" s="10">
        <f t="shared" si="10"/>
        <v>79.442257265068292</v>
      </c>
      <c r="AF46" s="10">
        <f>Assumptions!$E$16</f>
        <v>0.5</v>
      </c>
      <c r="AG46" s="10">
        <f t="shared" si="3"/>
        <v>3.276723791314931</v>
      </c>
      <c r="AH46" s="10">
        <f t="shared" si="11"/>
        <v>3.276723791314931</v>
      </c>
      <c r="AI46" s="10">
        <f>'PDB_woody perennials'!K545</f>
        <v>2.1435426016931332E-2</v>
      </c>
      <c r="AJ46" s="80">
        <f>'PDB_woody perennials'!G545</f>
        <v>559.08882558720006</v>
      </c>
      <c r="AK46" s="58">
        <f>'PDB_woody perennials'!J545</f>
        <v>1444.1614261676168</v>
      </c>
      <c r="AL46" s="10">
        <f>AK46-'BR_woody perennials'!AH35</f>
        <v>72.899780483698578</v>
      </c>
      <c r="AM46" s="10">
        <f>Assumptions!$E$16</f>
        <v>0.5</v>
      </c>
      <c r="AN46" s="10">
        <f t="shared" si="4"/>
        <v>2.864836060549568</v>
      </c>
      <c r="AO46" s="10">
        <f t="shared" si="12"/>
        <v>2.864836060549568</v>
      </c>
    </row>
    <row r="47" spans="1:41" x14ac:dyDescent="0.2">
      <c r="A47" s="516"/>
      <c r="B47" s="516"/>
      <c r="C47" s="516"/>
      <c r="D47" s="516"/>
      <c r="E47" s="518"/>
      <c r="F47" s="55" t="s">
        <v>175</v>
      </c>
      <c r="G47" s="10">
        <f>'PDB_woody perennials'!K955</f>
        <v>4.8488169364881697E-3</v>
      </c>
      <c r="H47" s="80">
        <f>'PDB_woody perennials'!G955</f>
        <v>386.05230386052301</v>
      </c>
      <c r="I47" s="10">
        <f>'PDB_woody perennials'!J955</f>
        <v>273.25841350252114</v>
      </c>
      <c r="J47" s="10">
        <f t="shared" si="14"/>
        <v>-726.34158649747883</v>
      </c>
      <c r="K47" s="10">
        <f>Assumptions!$E$16</f>
        <v>0.5</v>
      </c>
      <c r="L47" s="10">
        <f t="shared" si="16"/>
        <v>-6.4568118748552132</v>
      </c>
      <c r="M47" s="10">
        <f t="shared" si="17"/>
        <v>-6.4568118748552132</v>
      </c>
      <c r="N47" s="10">
        <f>'PDB_woody perennials'!K855</f>
        <v>1.7840999999999999E-2</v>
      </c>
      <c r="O47" s="80">
        <f>'PDB_woody perennials'!G855</f>
        <v>1473</v>
      </c>
      <c r="P47" s="10">
        <f>'PDB_woody perennials'!J855</f>
        <v>999.6</v>
      </c>
      <c r="Q47" s="10">
        <f t="shared" si="6"/>
        <v>58.493155524193071</v>
      </c>
      <c r="R47" s="10">
        <f>Assumptions!$E$16</f>
        <v>0.5</v>
      </c>
      <c r="S47" s="10">
        <f t="shared" si="1"/>
        <v>1.9132233774630689</v>
      </c>
      <c r="T47" s="10">
        <f t="shared" si="7"/>
        <v>1.9132233774630689</v>
      </c>
      <c r="U47" s="10">
        <f>'PDB_woody perennials'!K752</f>
        <v>1.6894674355661627E-2</v>
      </c>
      <c r="V47" s="80">
        <f>'PDB_woody perennials'!G752</f>
        <v>1446.4860000000001</v>
      </c>
      <c r="W47" s="58">
        <f>'PDB_woody perennials'!J752</f>
        <v>941.10684447580695</v>
      </c>
      <c r="X47" s="10">
        <f t="shared" si="8"/>
        <v>55.075529496530748</v>
      </c>
      <c r="Y47" s="10">
        <f>Assumptions!$E$16</f>
        <v>0.5</v>
      </c>
      <c r="Z47" s="10">
        <f t="shared" si="2"/>
        <v>1.7058857489841266</v>
      </c>
      <c r="AA47" s="10">
        <f t="shared" si="9"/>
        <v>1.7058857489841266</v>
      </c>
      <c r="AB47" s="10">
        <f>'PDB_woody perennials'!K649</f>
        <v>1.5998685034188762E-2</v>
      </c>
      <c r="AC47" s="80">
        <f>'PDB_woody perennials'!G649</f>
        <v>1420.4492520000001</v>
      </c>
      <c r="AD47" s="58">
        <f>'PDB_woody perennials'!J649</f>
        <v>886.0313149792762</v>
      </c>
      <c r="AE47" s="10">
        <f t="shared" si="10"/>
        <v>46.198580664300721</v>
      </c>
      <c r="AF47" s="10">
        <f>Assumptions!$E$16</f>
        <v>0.5</v>
      </c>
      <c r="AG47" s="10">
        <f t="shared" si="3"/>
        <v>1.3550469919703021</v>
      </c>
      <c r="AH47" s="10">
        <f t="shared" si="11"/>
        <v>1.3550469919703021</v>
      </c>
      <c r="AI47" s="10">
        <f>'PDB_woody perennials'!K546</f>
        <v>1.524296961204006E-2</v>
      </c>
      <c r="AJ47" s="80">
        <f>'PDB_woody perennials'!G546</f>
        <v>1397.7220639680002</v>
      </c>
      <c r="AK47" s="58">
        <f>'PDB_woody perennials'!J546</f>
        <v>839.83273431497548</v>
      </c>
      <c r="AL47" s="10">
        <f>AK47-'BR_woody perennials'!AH36</f>
        <v>42.393890921914362</v>
      </c>
      <c r="AM47" s="10">
        <f>Assumptions!$E$16</f>
        <v>0.5</v>
      </c>
      <c r="AN47" s="10">
        <f t="shared" si="4"/>
        <v>1.184716116941283</v>
      </c>
      <c r="AO47" s="10">
        <f t="shared" si="12"/>
        <v>1.184716116941283</v>
      </c>
    </row>
    <row r="48" spans="1:41" x14ac:dyDescent="0.2">
      <c r="A48" s="516"/>
      <c r="B48" s="516"/>
      <c r="C48" s="516"/>
      <c r="D48" s="516"/>
      <c r="E48" s="518"/>
      <c r="F48" s="55" t="s">
        <v>180</v>
      </c>
      <c r="G48" s="10">
        <f>'PDB_woody perennials'!K956</f>
        <v>9.7636815920398032E-4</v>
      </c>
      <c r="H48" s="80">
        <f>'PDB_woody perennials'!G956</f>
        <v>12.437810945273633</v>
      </c>
      <c r="I48" s="10">
        <f>'PDB_woody perennials'!J956</f>
        <v>73.772103243019203</v>
      </c>
      <c r="J48" s="10">
        <f t="shared" si="14"/>
        <v>-484.62789675698076</v>
      </c>
      <c r="K48" s="10">
        <f>Assumptions!$E$16</f>
        <v>0.5</v>
      </c>
      <c r="L48" s="10">
        <f t="shared" si="16"/>
        <v>-0.8674879536684349</v>
      </c>
      <c r="M48" s="10">
        <f t="shared" si="17"/>
        <v>-0.8674879536684349</v>
      </c>
      <c r="N48" s="10">
        <f>'PDB_woody perennials'!K856</f>
        <v>7.4339999999999996E-3</v>
      </c>
      <c r="O48" s="80">
        <f>'PDB_woody perennials'!G856</f>
        <v>98</v>
      </c>
      <c r="P48" s="10">
        <f>'PDB_woody perennials'!J856</f>
        <v>558.4</v>
      </c>
      <c r="Q48" s="10">
        <f t="shared" si="6"/>
        <v>32.663060020992248</v>
      </c>
      <c r="R48" s="10">
        <f>Assumptions!$E$16</f>
        <v>0.5</v>
      </c>
      <c r="S48" s="10">
        <f t="shared" si="1"/>
        <v>0.44516484502610326</v>
      </c>
      <c r="T48" s="10">
        <f t="shared" si="7"/>
        <v>0.44516484502610326</v>
      </c>
      <c r="U48" s="10">
        <f>'PDB_woody perennials'!K753</f>
        <v>7.0394476481923434E-3</v>
      </c>
      <c r="V48" s="80">
        <f>'PDB_woody perennials'!G753</f>
        <v>96.432400000000001</v>
      </c>
      <c r="W48" s="58">
        <f>'PDB_woody perennials'!J753</f>
        <v>525.73693997900773</v>
      </c>
      <c r="X48" s="10">
        <f t="shared" si="8"/>
        <v>30.767218956268209</v>
      </c>
      <c r="Y48" s="10">
        <f>Assumptions!$E$16</f>
        <v>0.5</v>
      </c>
      <c r="Z48" s="10">
        <f t="shared" si="2"/>
        <v>0.39707108305905542</v>
      </c>
      <c r="AA48" s="10">
        <f t="shared" si="9"/>
        <v>0.39707108305905542</v>
      </c>
      <c r="AB48" s="10">
        <f>'PDB_woody perennials'!K650</f>
        <v>6.6661187642453159E-3</v>
      </c>
      <c r="AC48" s="80">
        <f>'PDB_woody perennials'!G650</f>
        <v>94.696616800000001</v>
      </c>
      <c r="AD48" s="58">
        <f>'PDB_woody perennials'!J650</f>
        <v>494.96972102273952</v>
      </c>
      <c r="AE48" s="10">
        <f t="shared" si="10"/>
        <v>25.808228441214339</v>
      </c>
      <c r="AF48" s="10">
        <f>Assumptions!$E$16</f>
        <v>0.5</v>
      </c>
      <c r="AG48" s="10">
        <f t="shared" si="3"/>
        <v>0.315407979120499</v>
      </c>
      <c r="AH48" s="10">
        <f t="shared" si="11"/>
        <v>0.315407979120499</v>
      </c>
      <c r="AI48" s="10">
        <f>'PDB_woody perennials'!K547</f>
        <v>6.3512373383500234E-3</v>
      </c>
      <c r="AJ48" s="80">
        <f>'PDB_woody perennials'!G547</f>
        <v>93.181470931199996</v>
      </c>
      <c r="AK48" s="58">
        <f>'PDB_woody perennials'!J547</f>
        <v>469.16149258152518</v>
      </c>
      <c r="AL48" s="10">
        <f>AK48-'BR_woody perennials'!AH37</f>
        <v>23.682788641821162</v>
      </c>
      <c r="AM48" s="10">
        <f>Assumptions!$E$16</f>
        <v>0.5</v>
      </c>
      <c r="AN48" s="10">
        <f t="shared" si="4"/>
        <v>0.27576085441334169</v>
      </c>
      <c r="AO48" s="10">
        <f t="shared" si="12"/>
        <v>0.27576085441334169</v>
      </c>
    </row>
    <row r="49" spans="1:41" x14ac:dyDescent="0.2">
      <c r="A49" s="516"/>
      <c r="B49" s="516"/>
      <c r="C49" s="516"/>
      <c r="D49" s="516"/>
      <c r="E49" s="518"/>
      <c r="F49" s="55" t="s">
        <v>181</v>
      </c>
      <c r="G49" s="10">
        <f>'PDB_woody perennials'!K957</f>
        <v>2.5120000000000003E-3</v>
      </c>
      <c r="H49" s="80">
        <f>'PDB_woody perennials'!G957</f>
        <v>12.5</v>
      </c>
      <c r="I49" s="10">
        <f>'PDB_woody perennials'!J957</f>
        <v>220.60562754451053</v>
      </c>
      <c r="J49" s="10">
        <f t="shared" si="14"/>
        <v>-1440.9943724554894</v>
      </c>
      <c r="K49" s="10">
        <f>Assumptions!$E$16</f>
        <v>0.5</v>
      </c>
      <c r="L49" s="10">
        <f t="shared" si="16"/>
        <v>-6.6362594166150153</v>
      </c>
      <c r="M49" s="10">
        <f t="shared" si="17"/>
        <v>-6.6362594166150153</v>
      </c>
      <c r="N49" s="10">
        <f>'PDB_woody perennials'!K857</f>
        <v>1.9029999999999998E-2</v>
      </c>
      <c r="O49" s="80">
        <f>'PDB_woody perennials'!G857</f>
        <v>98</v>
      </c>
      <c r="P49" s="10">
        <f>'PDB_woody perennials'!J857</f>
        <v>1661.6</v>
      </c>
      <c r="Q49" s="10">
        <f t="shared" si="6"/>
        <v>97.275479697895889</v>
      </c>
      <c r="R49" s="10">
        <f>Assumptions!$E$16</f>
        <v>0.5</v>
      </c>
      <c r="S49" s="10">
        <f t="shared" si="1"/>
        <v>3.393779360860091</v>
      </c>
      <c r="T49" s="10">
        <f t="shared" si="7"/>
        <v>3.393779360860091</v>
      </c>
      <c r="U49" s="10">
        <f>'PDB_woody perennials'!K754</f>
        <v>1.8020985979372402E-2</v>
      </c>
      <c r="V49" s="80">
        <f>'PDB_woody perennials'!G754</f>
        <v>96.432400000000001</v>
      </c>
      <c r="W49" s="58">
        <f>'PDB_woody perennials'!J754</f>
        <v>1564.324520302104</v>
      </c>
      <c r="X49" s="10">
        <f t="shared" si="8"/>
        <v>91.547523818120226</v>
      </c>
      <c r="Y49" s="10">
        <f>Assumptions!$E$16</f>
        <v>0.5</v>
      </c>
      <c r="Z49" s="10">
        <f t="shared" si="2"/>
        <v>3.0245905124831105</v>
      </c>
      <c r="AA49" s="10">
        <f t="shared" si="9"/>
        <v>3.0245905124831105</v>
      </c>
      <c r="AB49" s="10">
        <f>'PDB_woody perennials'!K651</f>
        <v>1.7065264036468009E-2</v>
      </c>
      <c r="AC49" s="80">
        <f>'PDB_woody perennials'!G651</f>
        <v>94.696616800000001</v>
      </c>
      <c r="AD49" s="58">
        <f>'PDB_woody perennials'!J651</f>
        <v>1472.7769964839838</v>
      </c>
      <c r="AE49" s="10">
        <f t="shared" si="10"/>
        <v>76.79210172631565</v>
      </c>
      <c r="AF49" s="10">
        <f>Assumptions!$E$16</f>
        <v>0.5</v>
      </c>
      <c r="AG49" s="10">
        <f t="shared" si="3"/>
        <v>2.4025420684372936</v>
      </c>
      <c r="AH49" s="10">
        <f t="shared" si="11"/>
        <v>2.4025420684372936</v>
      </c>
      <c r="AI49" s="10">
        <f>'PDB_woody perennials'!K548</f>
        <v>1.6259167586176061E-2</v>
      </c>
      <c r="AJ49" s="80">
        <f>'PDB_woody perennials'!G548</f>
        <v>93.181470931199996</v>
      </c>
      <c r="AK49" s="58">
        <f>'PDB_woody perennials'!J548</f>
        <v>1395.9848947576681</v>
      </c>
      <c r="AL49" s="10">
        <f>AK49-'BR_woody perennials'!AH38</f>
        <v>70.467878827408185</v>
      </c>
      <c r="AM49" s="10">
        <f>Assumptions!$E$16</f>
        <v>0.5</v>
      </c>
      <c r="AN49" s="10">
        <f t="shared" si="4"/>
        <v>2.1005399273781591</v>
      </c>
      <c r="AO49" s="10">
        <f t="shared" si="12"/>
        <v>2.1005399273781591</v>
      </c>
    </row>
    <row r="50" spans="1:41" x14ac:dyDescent="0.2">
      <c r="A50" s="584" t="s">
        <v>15</v>
      </c>
      <c r="B50" s="584"/>
      <c r="C50" s="584"/>
      <c r="D50" s="584" t="s">
        <v>34</v>
      </c>
      <c r="E50" s="587">
        <f>Assumptions!D67</f>
        <v>2549.9479999999994</v>
      </c>
      <c r="F50" s="56" t="s">
        <v>323</v>
      </c>
      <c r="G50" s="10">
        <v>0</v>
      </c>
      <c r="H50" s="80"/>
      <c r="I50" s="10"/>
      <c r="J50" s="10">
        <f t="shared" si="14"/>
        <v>0</v>
      </c>
      <c r="K50" s="10">
        <f>Assumptions!$E$16</f>
        <v>0.5</v>
      </c>
      <c r="L50" s="10">
        <f t="shared" si="16"/>
        <v>0</v>
      </c>
      <c r="M50" s="10">
        <f t="shared" si="17"/>
        <v>0</v>
      </c>
      <c r="N50" s="10">
        <f>'PDB_woody perennials'!K858</f>
        <v>0</v>
      </c>
      <c r="O50" s="80">
        <f>'PDB_woody perennials'!G858</f>
        <v>0</v>
      </c>
      <c r="P50" s="10">
        <f>'PDB_woody perennials'!J858</f>
        <v>0</v>
      </c>
      <c r="Q50" s="10">
        <f t="shared" si="6"/>
        <v>0</v>
      </c>
      <c r="R50" s="10">
        <f>Assumptions!$E$16</f>
        <v>0.5</v>
      </c>
      <c r="S50" s="10">
        <f t="shared" si="1"/>
        <v>0</v>
      </c>
      <c r="T50" s="10">
        <f t="shared" si="7"/>
        <v>0</v>
      </c>
      <c r="U50" s="10">
        <f>'PDB_woody perennials'!K755</f>
        <v>0</v>
      </c>
      <c r="V50" s="80">
        <f>'PDB_woody perennials'!G755</f>
        <v>0</v>
      </c>
      <c r="W50" s="58">
        <f>'PDB_woody perennials'!J755</f>
        <v>0</v>
      </c>
      <c r="X50" s="10">
        <f t="shared" si="8"/>
        <v>0</v>
      </c>
      <c r="Y50" s="10">
        <f>Assumptions!$E$16</f>
        <v>0.5</v>
      </c>
      <c r="Z50" s="10">
        <f t="shared" si="2"/>
        <v>0</v>
      </c>
      <c r="AA50" s="10">
        <f t="shared" si="9"/>
        <v>0</v>
      </c>
      <c r="AB50" s="10">
        <f>'PDB_woody perennials'!K652</f>
        <v>0</v>
      </c>
      <c r="AC50" s="80">
        <f>'PDB_woody perennials'!G652</f>
        <v>0</v>
      </c>
      <c r="AD50" s="58">
        <f>'PDB_woody perennials'!J652</f>
        <v>0</v>
      </c>
      <c r="AE50" s="10">
        <f t="shared" si="10"/>
        <v>0</v>
      </c>
      <c r="AF50" s="10">
        <f>Assumptions!$E$16</f>
        <v>0.5</v>
      </c>
      <c r="AG50" s="10">
        <f t="shared" si="3"/>
        <v>0</v>
      </c>
      <c r="AH50" s="10">
        <f t="shared" si="11"/>
        <v>0</v>
      </c>
      <c r="AI50" s="10">
        <f>'PDB_woody perennials'!K549</f>
        <v>0</v>
      </c>
      <c r="AJ50" s="80">
        <f>'PDB_woody perennials'!G549</f>
        <v>0</v>
      </c>
      <c r="AK50" s="58">
        <f>'PDB_woody perennials'!J549</f>
        <v>0</v>
      </c>
      <c r="AL50" s="10">
        <f>AK50-'BR_woody perennials'!AH39</f>
        <v>0</v>
      </c>
      <c r="AM50" s="10">
        <f>Assumptions!$E$16</f>
        <v>0.5</v>
      </c>
      <c r="AN50" s="10">
        <f t="shared" si="4"/>
        <v>0</v>
      </c>
      <c r="AO50" s="10">
        <f t="shared" si="12"/>
        <v>0</v>
      </c>
    </row>
    <row r="51" spans="1:41" x14ac:dyDescent="0.2">
      <c r="A51" s="596"/>
      <c r="B51" s="596"/>
      <c r="C51" s="596"/>
      <c r="D51" s="596"/>
      <c r="E51" s="589"/>
      <c r="F51" t="s">
        <v>373</v>
      </c>
      <c r="G51" s="10">
        <f>'PDB_woody perennials'!K958</f>
        <v>7.8532708333333354E-3</v>
      </c>
      <c r="H51" s="80">
        <f>'PDB_woody perennials'!G958</f>
        <v>16.666666666666668</v>
      </c>
      <c r="I51" s="10">
        <f>'PDB_woody perennials'!J958</f>
        <v>790.42793307782097</v>
      </c>
      <c r="J51" s="10">
        <f t="shared" si="14"/>
        <v>790.42793307782097</v>
      </c>
      <c r="K51" s="10">
        <f>Assumptions!$E$16</f>
        <v>0.5</v>
      </c>
      <c r="L51" s="10"/>
      <c r="M51" s="10"/>
      <c r="N51" s="10"/>
      <c r="O51" s="76"/>
      <c r="P51" s="10"/>
      <c r="Q51" s="10"/>
      <c r="R51" s="10">
        <f>Assumptions!$E$16</f>
        <v>0.5</v>
      </c>
      <c r="S51" s="10"/>
      <c r="T51" s="10"/>
      <c r="U51" s="10"/>
      <c r="V51" s="76"/>
      <c r="W51" s="58"/>
      <c r="X51" s="10"/>
      <c r="Y51" s="10">
        <f>Assumptions!$E$16</f>
        <v>0.5</v>
      </c>
      <c r="Z51" s="10"/>
      <c r="AA51" s="10"/>
      <c r="AB51" s="10"/>
      <c r="AC51" s="76"/>
      <c r="AD51" s="58"/>
      <c r="AE51" s="10"/>
      <c r="AF51" s="10">
        <f>Assumptions!$E$16</f>
        <v>0.5</v>
      </c>
      <c r="AG51" s="10"/>
      <c r="AH51" s="10"/>
      <c r="AI51" s="10"/>
      <c r="AJ51" s="76"/>
      <c r="AK51" s="58"/>
      <c r="AL51" s="10"/>
      <c r="AM51" s="10">
        <f>Assumptions!$E$16</f>
        <v>0.5</v>
      </c>
      <c r="AN51" s="10"/>
      <c r="AO51" s="10"/>
    </row>
    <row r="52" spans="1:41" x14ac:dyDescent="0.2">
      <c r="A52" s="584" t="s">
        <v>16</v>
      </c>
      <c r="B52" s="584"/>
      <c r="C52" s="584"/>
      <c r="D52" s="584" t="s">
        <v>36</v>
      </c>
      <c r="E52" s="587">
        <f>Assumptions!D68</f>
        <v>741.26900000000001</v>
      </c>
      <c r="F52" s="56" t="s">
        <v>323</v>
      </c>
      <c r="G52" s="10">
        <v>0</v>
      </c>
      <c r="H52" s="80"/>
      <c r="I52" s="10"/>
      <c r="J52" s="10">
        <f t="shared" si="14"/>
        <v>0</v>
      </c>
      <c r="K52" s="10">
        <f>Assumptions!$E$16</f>
        <v>0.5</v>
      </c>
      <c r="L52" s="10">
        <f t="shared" si="16"/>
        <v>0</v>
      </c>
      <c r="M52" s="10">
        <f t="shared" si="17"/>
        <v>0</v>
      </c>
      <c r="N52" s="10">
        <f>'PDB_woody perennials'!K859</f>
        <v>0</v>
      </c>
      <c r="O52" s="80">
        <f>'PDB_woody perennials'!G859</f>
        <v>0</v>
      </c>
      <c r="P52" s="10">
        <f>'PDB_woody perennials'!J859</f>
        <v>0</v>
      </c>
      <c r="Q52" s="10">
        <f t="shared" si="6"/>
        <v>0</v>
      </c>
      <c r="R52" s="10">
        <f>Assumptions!$E$16</f>
        <v>0.5</v>
      </c>
      <c r="S52" s="10">
        <f t="shared" si="1"/>
        <v>0</v>
      </c>
      <c r="T52" s="10">
        <f t="shared" si="7"/>
        <v>0</v>
      </c>
      <c r="U52" s="10">
        <f>'PDB_woody perennials'!K756</f>
        <v>0</v>
      </c>
      <c r="V52" s="80">
        <f>'PDB_woody perennials'!G756</f>
        <v>0</v>
      </c>
      <c r="W52" s="58">
        <f>'PDB_woody perennials'!J756</f>
        <v>0</v>
      </c>
      <c r="X52" s="10">
        <f t="shared" si="8"/>
        <v>0</v>
      </c>
      <c r="Y52" s="10">
        <f>Assumptions!$E$16</f>
        <v>0.5</v>
      </c>
      <c r="Z52" s="10">
        <f t="shared" si="2"/>
        <v>0</v>
      </c>
      <c r="AA52" s="10">
        <f t="shared" si="9"/>
        <v>0</v>
      </c>
      <c r="AB52" s="10">
        <f>'PDB_woody perennials'!K653</f>
        <v>0</v>
      </c>
      <c r="AC52" s="80">
        <f>'PDB_woody perennials'!G653</f>
        <v>0</v>
      </c>
      <c r="AD52" s="58">
        <f>'PDB_woody perennials'!J653</f>
        <v>0</v>
      </c>
      <c r="AE52" s="10">
        <f t="shared" si="10"/>
        <v>0</v>
      </c>
      <c r="AF52" s="10">
        <f>Assumptions!$E$16</f>
        <v>0.5</v>
      </c>
      <c r="AG52" s="10">
        <f t="shared" si="3"/>
        <v>0</v>
      </c>
      <c r="AH52" s="10">
        <f t="shared" si="11"/>
        <v>0</v>
      </c>
      <c r="AI52" s="10">
        <f>'PDB_woody perennials'!K550</f>
        <v>0</v>
      </c>
      <c r="AJ52" s="80">
        <f>'PDB_woody perennials'!G550</f>
        <v>0</v>
      </c>
      <c r="AK52" s="58">
        <f>'PDB_woody perennials'!J550</f>
        <v>0</v>
      </c>
      <c r="AL52" s="10">
        <f>AK52-'BR_woody perennials'!AH40</f>
        <v>0</v>
      </c>
      <c r="AM52" s="10">
        <f>Assumptions!$E$16</f>
        <v>0.5</v>
      </c>
      <c r="AN52" s="10">
        <f t="shared" si="4"/>
        <v>0</v>
      </c>
      <c r="AO52" s="10">
        <f t="shared" si="12"/>
        <v>0</v>
      </c>
    </row>
    <row r="53" spans="1:41" x14ac:dyDescent="0.2">
      <c r="A53" s="596"/>
      <c r="B53" s="596"/>
      <c r="C53" s="596"/>
      <c r="D53" s="596"/>
      <c r="E53" s="589"/>
      <c r="F53" s="56" t="s">
        <v>375</v>
      </c>
      <c r="G53" s="10">
        <f>'PDB_woody perennials'!K959</f>
        <v>6.8059500000000009E-2</v>
      </c>
      <c r="H53" s="80">
        <f>'PDB_woody perennials'!G959</f>
        <v>300</v>
      </c>
      <c r="I53" s="10">
        <f>'PDB_woody perennials'!J959</f>
        <v>6094.1195050298384</v>
      </c>
      <c r="J53" s="10">
        <f t="shared" si="14"/>
        <v>6094.1195050298384</v>
      </c>
      <c r="K53" s="10">
        <f>Assumptions!$E$16</f>
        <v>0.5</v>
      </c>
      <c r="L53" s="10">
        <f t="shared" si="16"/>
        <v>760.398331829727</v>
      </c>
      <c r="M53" s="10">
        <f t="shared" si="17"/>
        <v>760.398331829727</v>
      </c>
      <c r="N53" s="10"/>
      <c r="O53" s="76"/>
      <c r="P53" s="10"/>
      <c r="Q53" s="10"/>
      <c r="R53" s="10">
        <f>Assumptions!$E$16</f>
        <v>0.5</v>
      </c>
      <c r="S53" s="10"/>
      <c r="T53" s="10"/>
      <c r="U53" s="10"/>
      <c r="V53" s="76"/>
      <c r="W53" s="58"/>
      <c r="X53" s="10"/>
      <c r="Y53" s="10">
        <f>Assumptions!$E$16</f>
        <v>0.5</v>
      </c>
      <c r="Z53" s="10"/>
      <c r="AA53" s="10"/>
      <c r="AB53" s="10"/>
      <c r="AC53" s="76"/>
      <c r="AD53" s="58"/>
      <c r="AE53" s="10"/>
      <c r="AF53" s="10">
        <f>Assumptions!$E$16</f>
        <v>0.5</v>
      </c>
      <c r="AG53" s="10"/>
      <c r="AH53" s="10"/>
      <c r="AI53" s="10"/>
      <c r="AJ53" s="76"/>
      <c r="AK53" s="58"/>
      <c r="AL53" s="10"/>
      <c r="AM53" s="10">
        <f>Assumptions!$E$16</f>
        <v>0.5</v>
      </c>
      <c r="AN53" s="10"/>
      <c r="AO53" s="10"/>
    </row>
    <row r="54" spans="1:41" ht="14.5" customHeight="1" x14ac:dyDescent="0.2">
      <c r="A54" s="584" t="s">
        <v>17</v>
      </c>
      <c r="B54" s="584"/>
      <c r="C54" s="584"/>
      <c r="D54" s="584" t="s">
        <v>35</v>
      </c>
      <c r="E54" s="587">
        <f>Assumptions!D69</f>
        <v>8643.7000000000025</v>
      </c>
      <c r="F54" s="55" t="s">
        <v>173</v>
      </c>
      <c r="G54" s="10">
        <f>'PDB_woody perennials'!K960</f>
        <v>1.8455510204081632E-3</v>
      </c>
      <c r="H54" s="80">
        <f>'PDB_woody perennials'!G960</f>
        <v>50</v>
      </c>
      <c r="I54" s="10">
        <f>'PDB_woody perennials'!J960</f>
        <v>123.58633018396725</v>
      </c>
      <c r="J54" s="10">
        <f t="shared" si="14"/>
        <v>-690.91366981603278</v>
      </c>
      <c r="K54" s="10">
        <f>Assumptions!$E$16</f>
        <v>0.5</v>
      </c>
      <c r="L54" s="10">
        <f t="shared" si="16"/>
        <v>-2.3377134519620344</v>
      </c>
      <c r="M54" s="10">
        <f t="shared" si="17"/>
        <v>-2.3377134519620344</v>
      </c>
      <c r="N54" s="10">
        <f>'PDB_woody perennials'!K860</f>
        <v>1.2234E-2</v>
      </c>
      <c r="O54" s="80">
        <f>'PDB_woody perennials'!G860</f>
        <v>344</v>
      </c>
      <c r="P54" s="10">
        <f>'PDB_woody perennials'!J860</f>
        <v>814.5</v>
      </c>
      <c r="Q54" s="10">
        <f t="shared" si="6"/>
        <v>47.688256669996917</v>
      </c>
      <c r="R54" s="10">
        <f>Assumptions!$E$16</f>
        <v>0.5</v>
      </c>
      <c r="S54" s="10">
        <f t="shared" ref="S54:S63" si="18">N54*Q54*R54*44/12</f>
        <v>1.0695999088513608</v>
      </c>
      <c r="T54" s="10">
        <f t="shared" si="7"/>
        <v>1.0695999088513608</v>
      </c>
      <c r="U54" s="10">
        <f>'PDB_woody perennials'!K757</f>
        <v>1.1584919558167969E-2</v>
      </c>
      <c r="V54" s="80">
        <f>'PDB_woody perennials'!G757</f>
        <v>337.51339999999999</v>
      </c>
      <c r="W54" s="58">
        <f>'PDB_woody perennials'!J757</f>
        <v>766.81174333000308</v>
      </c>
      <c r="X54" s="10">
        <f t="shared" si="8"/>
        <v>44.875417744497668</v>
      </c>
      <c r="Y54" s="10">
        <f>Assumptions!$E$16</f>
        <v>0.5</v>
      </c>
      <c r="Z54" s="10">
        <f t="shared" ref="Z54:Z94" si="19">U54*X54*Y54*44/12</f>
        <v>0.95310985863351305</v>
      </c>
      <c r="AA54" s="10">
        <f t="shared" si="9"/>
        <v>0.95310985863351305</v>
      </c>
      <c r="AB54" s="10">
        <f>'PDB_woody perennials'!K654</f>
        <v>1.0970526880586577E-2</v>
      </c>
      <c r="AC54" s="80">
        <f>'PDB_woody perennials'!G654</f>
        <v>331.4381588</v>
      </c>
      <c r="AD54" s="58">
        <f>'PDB_woody perennials'!J654</f>
        <v>721.93632558550541</v>
      </c>
      <c r="AE54" s="10">
        <f t="shared" si="10"/>
        <v>37.642499771951861</v>
      </c>
      <c r="AF54" s="10">
        <f>Assumptions!$E$16</f>
        <v>0.5</v>
      </c>
      <c r="AG54" s="10">
        <f t="shared" ref="AG54:AG94" si="20">AB54*AE54*AF54*44/12</f>
        <v>0.757089768601232</v>
      </c>
      <c r="AH54" s="10">
        <f t="shared" si="11"/>
        <v>0.757089768601232</v>
      </c>
      <c r="AI54" s="10">
        <f>'PDB_woody perennials'!K551</f>
        <v>1.0452322019684605E-2</v>
      </c>
      <c r="AJ54" s="80">
        <f>'PDB_woody perennials'!G551</f>
        <v>326.13514825919998</v>
      </c>
      <c r="AK54" s="58">
        <f>'PDB_woody perennials'!J551</f>
        <v>684.29382581355355</v>
      </c>
      <c r="AL54" s="10">
        <f>AK54-'BR_woody perennials'!AH41</f>
        <v>34.542447114475181</v>
      </c>
      <c r="AM54" s="10">
        <f>Assumptions!$E$16</f>
        <v>0.5</v>
      </c>
      <c r="AN54" s="10">
        <f t="shared" si="4"/>
        <v>0.66192276441210318</v>
      </c>
      <c r="AO54" s="10">
        <f t="shared" si="12"/>
        <v>0.66192276441210318</v>
      </c>
    </row>
    <row r="55" spans="1:41" x14ac:dyDescent="0.2">
      <c r="A55" s="585"/>
      <c r="B55" s="585"/>
      <c r="C55" s="585"/>
      <c r="D55" s="585"/>
      <c r="E55" s="588"/>
      <c r="F55" s="55" t="s">
        <v>182</v>
      </c>
      <c r="G55" s="10">
        <v>0</v>
      </c>
      <c r="H55" s="80">
        <v>0</v>
      </c>
      <c r="I55" s="10">
        <v>0</v>
      </c>
      <c r="J55" s="10">
        <f t="shared" si="14"/>
        <v>-16377.5</v>
      </c>
      <c r="K55" s="10">
        <f>Assumptions!$E$16</f>
        <v>0.5</v>
      </c>
      <c r="L55" s="10">
        <f t="shared" si="16"/>
        <v>0</v>
      </c>
      <c r="M55" s="10">
        <f t="shared" si="17"/>
        <v>0</v>
      </c>
      <c r="N55" s="10">
        <f>'PDB_woody perennials'!K861</f>
        <v>0.16261200000000001</v>
      </c>
      <c r="O55" s="80">
        <f>'PDB_woody perennials'!G861</f>
        <v>344</v>
      </c>
      <c r="P55" s="10">
        <f>'PDB_woody perennials'!J861</f>
        <v>16377.5</v>
      </c>
      <c r="Q55" s="10">
        <f t="shared" si="6"/>
        <v>958.45920431508785</v>
      </c>
      <c r="R55" s="10">
        <f>Assumptions!$E$16</f>
        <v>0.5</v>
      </c>
      <c r="S55" s="10">
        <f t="shared" si="18"/>
        <v>285.73777490882259</v>
      </c>
      <c r="T55" s="10">
        <f t="shared" si="7"/>
        <v>285.73777490882259</v>
      </c>
      <c r="U55" s="10">
        <f>'PDB_woody perennials'!K758</f>
        <v>0.15398791730420749</v>
      </c>
      <c r="V55" s="80">
        <f>'PDB_woody perennials'!G758</f>
        <v>337.51339999999999</v>
      </c>
      <c r="W55" s="58">
        <f>'PDB_woody perennials'!J758</f>
        <v>15419.040795684912</v>
      </c>
      <c r="X55" s="10">
        <f t="shared" si="8"/>
        <v>902.35433004842889</v>
      </c>
      <c r="Y55" s="10">
        <f>Assumptions!$E$16</f>
        <v>0.5</v>
      </c>
      <c r="Z55" s="10">
        <f t="shared" si="19"/>
        <v>254.74471725008357</v>
      </c>
      <c r="AA55" s="10">
        <f t="shared" si="9"/>
        <v>254.74471725008357</v>
      </c>
      <c r="AB55" s="10">
        <f>'PDB_woody perennials'!K655</f>
        <v>0.14582134796786625</v>
      </c>
      <c r="AC55" s="80">
        <f>'PDB_woody perennials'!G655</f>
        <v>331.4381588</v>
      </c>
      <c r="AD55" s="58">
        <f>'PDB_woody perennials'!J655</f>
        <v>14516.686465636483</v>
      </c>
      <c r="AE55" s="10">
        <f t="shared" si="10"/>
        <v>756.91490732100465</v>
      </c>
      <c r="AF55" s="10">
        <f>Assumptions!$E$16</f>
        <v>0.5</v>
      </c>
      <c r="AG55" s="10">
        <f t="shared" si="20"/>
        <v>202.352978817956</v>
      </c>
      <c r="AH55" s="10">
        <f t="shared" si="11"/>
        <v>202.352978817956</v>
      </c>
      <c r="AI55" s="10">
        <f>'PDB_woody perennials'!K552</f>
        <v>0.13893331677640672</v>
      </c>
      <c r="AJ55" s="80">
        <f>'PDB_woody perennials'!G552</f>
        <v>326.13514825919998</v>
      </c>
      <c r="AK55" s="58">
        <f>'PDB_woody perennials'!J552</f>
        <v>13759.771558315479</v>
      </c>
      <c r="AL55" s="10">
        <f>AK55-'BR_woody perennials'!AH42</f>
        <v>694.57908785790278</v>
      </c>
      <c r="AM55" s="10">
        <f>Assumptions!$E$16</f>
        <v>0.5</v>
      </c>
      <c r="AN55" s="10">
        <f t="shared" si="4"/>
        <v>176.916990139321</v>
      </c>
      <c r="AO55" s="10">
        <f t="shared" si="12"/>
        <v>176.916990139321</v>
      </c>
    </row>
    <row r="56" spans="1:41" x14ac:dyDescent="0.2">
      <c r="A56" s="585"/>
      <c r="B56" s="585"/>
      <c r="C56" s="585"/>
      <c r="D56" s="585"/>
      <c r="E56" s="588"/>
      <c r="F56" s="55" t="s">
        <v>172</v>
      </c>
      <c r="G56" s="10">
        <f>'PDB_woody perennials'!K961</f>
        <v>4.7410155102040816E-2</v>
      </c>
      <c r="H56" s="80">
        <f>'PDB_woody perennials'!G961</f>
        <v>160</v>
      </c>
      <c r="I56" s="10">
        <f>'PDB_woody perennials'!J961</f>
        <v>4430.4823560554823</v>
      </c>
      <c r="J56" s="10">
        <f t="shared" si="14"/>
        <v>-4694.0176439445177</v>
      </c>
      <c r="K56" s="10">
        <f>Assumptions!$E$16</f>
        <v>0.5</v>
      </c>
      <c r="L56" s="10">
        <f t="shared" si="16"/>
        <v>-407.99752501039728</v>
      </c>
      <c r="M56" s="10">
        <f t="shared" si="17"/>
        <v>-407.99752501039728</v>
      </c>
      <c r="N56" s="10">
        <f>'PDB_woody perennials'!K862</f>
        <v>9.8210000000000006E-2</v>
      </c>
      <c r="O56" s="80">
        <f>'PDB_woody perennials'!G862</f>
        <v>344</v>
      </c>
      <c r="P56" s="10">
        <f>'PDB_woody perennials'!J862</f>
        <v>9124.5</v>
      </c>
      <c r="Q56" s="10">
        <f t="shared" si="6"/>
        <v>533.98200393974184</v>
      </c>
      <c r="R56" s="10">
        <f>Assumptions!$E$16</f>
        <v>0.5</v>
      </c>
      <c r="S56" s="10">
        <f t="shared" si="18"/>
        <v>96.144349779357086</v>
      </c>
      <c r="T56" s="10">
        <f t="shared" si="7"/>
        <v>96.144349779357086</v>
      </c>
      <c r="U56" s="10">
        <f>'PDB_woody perennials'!K759</f>
        <v>9.3001159786404011E-2</v>
      </c>
      <c r="V56" s="80">
        <f>'PDB_woody perennials'!G759</f>
        <v>337.51339999999999</v>
      </c>
      <c r="W56" s="58">
        <f>'PDB_woody perennials'!J759</f>
        <v>8590.5179960602582</v>
      </c>
      <c r="X56" s="10">
        <f t="shared" si="8"/>
        <v>502.7349764372666</v>
      </c>
      <c r="Y56" s="10">
        <f>Assumptions!$E$16</f>
        <v>0.5</v>
      </c>
      <c r="Z56" s="10">
        <f t="shared" si="19"/>
        <v>85.717382435403181</v>
      </c>
      <c r="AA56" s="10">
        <f t="shared" si="9"/>
        <v>85.717382435403181</v>
      </c>
      <c r="AB56" s="10">
        <f>'PDB_woody perennials'!K656</f>
        <v>8.8068951902486689E-2</v>
      </c>
      <c r="AC56" s="80">
        <f>'PDB_woody perennials'!G656</f>
        <v>331.4381588</v>
      </c>
      <c r="AD56" s="58">
        <f>'PDB_woody perennials'!J656</f>
        <v>8087.7830196229916</v>
      </c>
      <c r="AE56" s="10">
        <f t="shared" si="10"/>
        <v>421.70529405741672</v>
      </c>
      <c r="AF56" s="10">
        <f>Assumptions!$E$16</f>
        <v>0.5</v>
      </c>
      <c r="AG56" s="10">
        <f t="shared" si="20"/>
        <v>68.08842930883884</v>
      </c>
      <c r="AH56" s="10">
        <f t="shared" si="11"/>
        <v>68.08842930883884</v>
      </c>
      <c r="AI56" s="10">
        <f>'PDB_woody perennials'!K553</f>
        <v>8.3908918435801436E-2</v>
      </c>
      <c r="AJ56" s="80">
        <f>'PDB_woody perennials'!G553</f>
        <v>326.13514825919998</v>
      </c>
      <c r="AK56" s="58">
        <f>'PDB_woody perennials'!J553</f>
        <v>7666.0777255655748</v>
      </c>
      <c r="AL56" s="10">
        <f>AK56-'BR_woody perennials'!AH43</f>
        <v>386.9757031578938</v>
      </c>
      <c r="AM56" s="10">
        <f>Assumptions!$E$16</f>
        <v>0.5</v>
      </c>
      <c r="AN56" s="10">
        <f t="shared" si="4"/>
        <v>59.529639973673142</v>
      </c>
      <c r="AO56" s="10">
        <f t="shared" si="12"/>
        <v>59.529639973673142</v>
      </c>
    </row>
    <row r="57" spans="1:41" x14ac:dyDescent="0.2">
      <c r="A57" s="585"/>
      <c r="B57" s="585"/>
      <c r="C57" s="585"/>
      <c r="D57" s="585"/>
      <c r="E57" s="588"/>
      <c r="F57" s="55" t="s">
        <v>183</v>
      </c>
      <c r="G57" s="10">
        <f>'PDB_woody perennials'!K962</f>
        <v>3.8693958333333341E-3</v>
      </c>
      <c r="H57" s="80">
        <f>'PDB_woody perennials'!G962</f>
        <v>116.66666666666667</v>
      </c>
      <c r="I57" s="10">
        <f>'PDB_woody perennials'!J962</f>
        <v>254.71468922871333</v>
      </c>
      <c r="J57" s="10">
        <f t="shared" si="14"/>
        <v>-156.3853107712867</v>
      </c>
      <c r="K57" s="10">
        <f>Assumptions!$E$16</f>
        <v>0.5</v>
      </c>
      <c r="L57" s="10">
        <f t="shared" si="16"/>
        <v>-1.1093805614704182</v>
      </c>
      <c r="M57" s="10">
        <f t="shared" si="17"/>
        <v>-1.1093805614704182</v>
      </c>
      <c r="N57" s="10">
        <f>'PDB_woody perennials'!K863</f>
        <v>6.2810000000000001E-3</v>
      </c>
      <c r="O57" s="80">
        <f>'PDB_woody perennials'!G863</f>
        <v>196</v>
      </c>
      <c r="P57" s="10">
        <f>'PDB_woody perennials'!J863</f>
        <v>411.1</v>
      </c>
      <c r="Q57" s="10">
        <f t="shared" si="6"/>
        <v>24.058551734511752</v>
      </c>
      <c r="R57" s="10">
        <f>Assumptions!$E$16</f>
        <v>0.5</v>
      </c>
      <c r="S57" s="10">
        <f t="shared" si="18"/>
        <v>0.27703823298152525</v>
      </c>
      <c r="T57" s="10">
        <f t="shared" si="7"/>
        <v>0.27703823298152525</v>
      </c>
      <c r="U57" s="10">
        <f>'PDB_woody perennials'!K760</f>
        <v>5.9483332627225296E-3</v>
      </c>
      <c r="V57" s="80">
        <f>'PDB_woody perennials'!G760</f>
        <v>192.8648</v>
      </c>
      <c r="W57" s="58">
        <f>'PDB_woody perennials'!J760</f>
        <v>387.04144826548827</v>
      </c>
      <c r="X57" s="10">
        <f t="shared" si="8"/>
        <v>22.650470374805479</v>
      </c>
      <c r="Y57" s="10">
        <f>Assumptions!$E$16</f>
        <v>0.5</v>
      </c>
      <c r="Z57" s="10">
        <f t="shared" si="19"/>
        <v>0.24700966830240559</v>
      </c>
      <c r="AA57" s="10">
        <f t="shared" si="9"/>
        <v>0.24700966830240559</v>
      </c>
      <c r="AB57" s="10">
        <f>'PDB_woody perennials'!K657</f>
        <v>5.632870355787291E-3</v>
      </c>
      <c r="AC57" s="80">
        <f>'PDB_woody perennials'!G657</f>
        <v>189.3932336</v>
      </c>
      <c r="AD57" s="58">
        <f>'PDB_woody perennials'!J657</f>
        <v>364.39097789068279</v>
      </c>
      <c r="AE57" s="10">
        <f t="shared" si="10"/>
        <v>18.999718972482697</v>
      </c>
      <c r="AF57" s="10">
        <f>Assumptions!$E$16</f>
        <v>0.5</v>
      </c>
      <c r="AG57" s="10">
        <f t="shared" si="20"/>
        <v>0.19620874857537643</v>
      </c>
      <c r="AH57" s="10">
        <f t="shared" si="11"/>
        <v>0.19620874857537643</v>
      </c>
      <c r="AI57" s="10">
        <f>'PDB_woody perennials'!K554</f>
        <v>5.3667955509057686E-3</v>
      </c>
      <c r="AJ57" s="80">
        <f>'PDB_woody perennials'!G554</f>
        <v>186.36294186239999</v>
      </c>
      <c r="AK57" s="58">
        <f>'PDB_woody perennials'!J554</f>
        <v>345.39125891820009</v>
      </c>
      <c r="AL57" s="10">
        <f>AK57-'BR_woody perennials'!AH44</f>
        <v>17.434994800369054</v>
      </c>
      <c r="AM57" s="10">
        <f>Assumptions!$E$16</f>
        <v>0.5</v>
      </c>
      <c r="AN57" s="10">
        <f t="shared" si="4"/>
        <v>0.17154509629525738</v>
      </c>
      <c r="AO57" s="10">
        <f t="shared" si="12"/>
        <v>0.17154509629525738</v>
      </c>
    </row>
    <row r="58" spans="1:41" x14ac:dyDescent="0.2">
      <c r="A58" s="585"/>
      <c r="B58" s="585"/>
      <c r="C58" s="585"/>
      <c r="D58" s="585"/>
      <c r="E58" s="588"/>
      <c r="F58" s="55" t="s">
        <v>184</v>
      </c>
      <c r="G58" s="10">
        <f>'PDB_woody perennials'!K963</f>
        <v>3.4618500000000003E-2</v>
      </c>
      <c r="H58" s="80">
        <f>'PDB_woody perennials'!G963</f>
        <v>100</v>
      </c>
      <c r="I58" s="10">
        <f>'PDB_woody perennials'!J963</f>
        <v>3316.6296422133933</v>
      </c>
      <c r="J58" s="10">
        <f t="shared" si="14"/>
        <v>194.12964221339325</v>
      </c>
      <c r="K58" s="10">
        <f>Assumptions!$E$16</f>
        <v>0.5</v>
      </c>
      <c r="L58" s="10">
        <f t="shared" si="16"/>
        <v>12.320874534767986</v>
      </c>
      <c r="M58" s="10">
        <f t="shared" si="17"/>
        <v>12.320874534767986</v>
      </c>
      <c r="N58" s="10">
        <f>'PDB_woody perennials'!K864</f>
        <v>3.2783E-2</v>
      </c>
      <c r="O58" s="80">
        <f>'PDB_woody perennials'!G864</f>
        <v>98</v>
      </c>
      <c r="P58" s="10">
        <f>'PDB_woody perennials'!J864</f>
        <v>3122.5</v>
      </c>
      <c r="Q58" s="10">
        <f t="shared" si="6"/>
        <v>182.70357921944287</v>
      </c>
      <c r="R58" s="10">
        <f>Assumptions!$E$16</f>
        <v>0.5</v>
      </c>
      <c r="S58" s="10">
        <f t="shared" si="18"/>
        <v>10.980880968843492</v>
      </c>
      <c r="T58" s="10">
        <f t="shared" si="7"/>
        <v>10.980880968843492</v>
      </c>
      <c r="U58" s="10">
        <f>'PDB_woody perennials'!K761</f>
        <v>3.1043964128528237E-2</v>
      </c>
      <c r="V58" s="80">
        <f>'PDB_woody perennials'!G761</f>
        <v>96.432400000000001</v>
      </c>
      <c r="W58" s="58">
        <f>'PDB_woody perennials'!J761</f>
        <v>2939.7964207805571</v>
      </c>
      <c r="X58" s="10">
        <f t="shared" si="8"/>
        <v>172.04299961996276</v>
      </c>
      <c r="Y58" s="10">
        <f>Assumptions!$E$16</f>
        <v>0.5</v>
      </c>
      <c r="Z58" s="10">
        <f t="shared" si="19"/>
        <v>9.7916439660719554</v>
      </c>
      <c r="AA58" s="10">
        <f t="shared" si="9"/>
        <v>9.7916439660719554</v>
      </c>
      <c r="AB58" s="10">
        <f>'PDB_woody perennials'!K658</f>
        <v>2.9397583750321848E-2</v>
      </c>
      <c r="AC58" s="80">
        <f>'PDB_woody perennials'!G658</f>
        <v>94.696616800000001</v>
      </c>
      <c r="AD58" s="58">
        <f>'PDB_woody perennials'!J658</f>
        <v>2767.7534211605944</v>
      </c>
      <c r="AE58" s="10">
        <f t="shared" si="10"/>
        <v>144.31349944936028</v>
      </c>
      <c r="AF58" s="10">
        <f>Assumptions!$E$16</f>
        <v>0.5</v>
      </c>
      <c r="AG58" s="10">
        <f t="shared" si="20"/>
        <v>7.7778583416684235</v>
      </c>
      <c r="AH58" s="10">
        <f t="shared" si="11"/>
        <v>7.7778583416684235</v>
      </c>
      <c r="AI58" s="10">
        <f>'PDB_woody perennials'!K555</f>
        <v>2.8008956662123607E-2</v>
      </c>
      <c r="AJ58" s="80">
        <f>'PDB_woody perennials'!G555</f>
        <v>93.181470931199996</v>
      </c>
      <c r="AK58" s="58">
        <f>'PDB_woody perennials'!J555</f>
        <v>2623.4399217112341</v>
      </c>
      <c r="AL58" s="10">
        <f>AK58-'BR_woody perennials'!AH45</f>
        <v>132.42854360986757</v>
      </c>
      <c r="AM58" s="10">
        <f>Assumptions!$E$16</f>
        <v>0.5</v>
      </c>
      <c r="AN58" s="10">
        <f t="shared" si="4"/>
        <v>6.8001731211276999</v>
      </c>
      <c r="AO58" s="10">
        <f t="shared" si="12"/>
        <v>6.8001731211276999</v>
      </c>
    </row>
    <row r="59" spans="1:41" x14ac:dyDescent="0.2">
      <c r="A59" s="585"/>
      <c r="B59" s="585"/>
      <c r="C59" s="585"/>
      <c r="D59" s="585"/>
      <c r="E59" s="588"/>
      <c r="F59" s="55" t="s">
        <v>185</v>
      </c>
      <c r="G59" s="10">
        <f>'PDB_woody perennials'!K964</f>
        <v>2.1195000000000003E-3</v>
      </c>
      <c r="H59" s="80">
        <f>'PDB_woody perennials'!G964</f>
        <v>75</v>
      </c>
      <c r="I59" s="10">
        <f>'PDB_woody perennials'!J964</f>
        <v>135.99419743537078</v>
      </c>
      <c r="J59" s="10">
        <f t="shared" si="14"/>
        <v>50.594197435370774</v>
      </c>
      <c r="K59" s="10">
        <f>Assumptions!$E$16</f>
        <v>0.5</v>
      </c>
      <c r="L59" s="10">
        <f t="shared" si="16"/>
        <v>0.19659640268449199</v>
      </c>
      <c r="M59" s="10">
        <f t="shared" si="17"/>
        <v>0.19659640268449199</v>
      </c>
      <c r="N59" s="10">
        <f>'PDB_woody perennials'!K865</f>
        <v>1.338E-3</v>
      </c>
      <c r="O59" s="80">
        <f>'PDB_woody perennials'!G865</f>
        <v>49</v>
      </c>
      <c r="P59" s="10">
        <f>'PDB_woody perennials'!J865</f>
        <v>85.4</v>
      </c>
      <c r="Q59" s="10">
        <f t="shared" si="6"/>
        <v>5.0382476598301906</v>
      </c>
      <c r="R59" s="10">
        <f>Assumptions!$E$16</f>
        <v>0.5</v>
      </c>
      <c r="S59" s="10">
        <f t="shared" si="18"/>
        <v>1.2358821509563458E-2</v>
      </c>
      <c r="T59" s="10">
        <f t="shared" si="7"/>
        <v>1.2358821509563458E-2</v>
      </c>
      <c r="U59" s="10">
        <f>'PDB_woody perennials'!K762</f>
        <v>1.2671005766746219E-3</v>
      </c>
      <c r="V59" s="80">
        <f>'PDB_woody perennials'!G762</f>
        <v>48.216200000000001</v>
      </c>
      <c r="W59" s="58">
        <f>'PDB_woody perennials'!J762</f>
        <v>80.361752340169815</v>
      </c>
      <c r="X59" s="10">
        <f t="shared" si="8"/>
        <v>4.7029368529023685</v>
      </c>
      <c r="Y59" s="10">
        <f>Assumptions!$E$16</f>
        <v>0.5</v>
      </c>
      <c r="Z59" s="10">
        <f t="shared" si="19"/>
        <v>1.0925005663691026E-2</v>
      </c>
      <c r="AA59" s="10">
        <f t="shared" si="9"/>
        <v>1.0925005663691026E-2</v>
      </c>
      <c r="AB59" s="10">
        <f>'PDB_woody perennials'!K659</f>
        <v>1.199901377564157E-3</v>
      </c>
      <c r="AC59" s="80">
        <f>'PDB_woody perennials'!G659</f>
        <v>47.348308400000001</v>
      </c>
      <c r="AD59" s="58">
        <f>'PDB_woody perennials'!J659</f>
        <v>75.658815487267447</v>
      </c>
      <c r="AE59" s="10">
        <f t="shared" si="10"/>
        <v>3.9449281658128683</v>
      </c>
      <c r="AF59" s="10">
        <f>Assumptions!$E$16</f>
        <v>0.5</v>
      </c>
      <c r="AG59" s="10">
        <f t="shared" si="20"/>
        <v>8.678128691009257E-3</v>
      </c>
      <c r="AH59" s="10">
        <f t="shared" si="11"/>
        <v>8.678128691009257E-3</v>
      </c>
      <c r="AI59" s="10">
        <f>'PDB_woody perennials'!K556</f>
        <v>1.1432227209030041E-3</v>
      </c>
      <c r="AJ59" s="80">
        <f>'PDB_woody perennials'!G556</f>
        <v>46.590735465599998</v>
      </c>
      <c r="AK59" s="58">
        <f>'PDB_woody perennials'!J556</f>
        <v>71.713887321454578</v>
      </c>
      <c r="AL59" s="10">
        <f>AK59-'BR_woody perennials'!AH46</f>
        <v>3.6200431258161387</v>
      </c>
      <c r="AM59" s="10">
        <f>Assumptions!$E$16</f>
        <v>0.5</v>
      </c>
      <c r="AN59" s="10">
        <f t="shared" si="4"/>
        <v>7.5872785121498601E-3</v>
      </c>
      <c r="AO59" s="10">
        <f t="shared" si="12"/>
        <v>7.5872785121498601E-3</v>
      </c>
    </row>
    <row r="60" spans="1:41" x14ac:dyDescent="0.2">
      <c r="A60" s="585"/>
      <c r="B60" s="585"/>
      <c r="C60" s="585"/>
      <c r="D60" s="585"/>
      <c r="E60" s="588"/>
      <c r="F60" s="55" t="s">
        <v>186</v>
      </c>
      <c r="G60" s="10">
        <f>'PDB_woody perennials'!K965</f>
        <v>2.951312166666668E-2</v>
      </c>
      <c r="H60" s="80">
        <f>'PDB_woody perennials'!G965</f>
        <v>183</v>
      </c>
      <c r="I60" s="10">
        <f>'PDB_woody perennials'!J965</f>
        <v>2502.2160752384125</v>
      </c>
      <c r="J60" s="10">
        <f t="shared" si="14"/>
        <v>571.21607523841249</v>
      </c>
      <c r="K60" s="10">
        <f>Assumptions!$E$16</f>
        <v>0.5</v>
      </c>
      <c r="L60" s="10">
        <f t="shared" si="16"/>
        <v>30.907010798523014</v>
      </c>
      <c r="M60" s="10">
        <f t="shared" si="17"/>
        <v>30.907010798523014</v>
      </c>
      <c r="N60" s="10">
        <f>'PDB_woody perennials'!K866</f>
        <v>2.2908000000000001E-2</v>
      </c>
      <c r="O60" s="80">
        <f>'PDB_woody perennials'!G866</f>
        <v>147</v>
      </c>
      <c r="P60" s="10">
        <f>'PDB_woody perennials'!J866</f>
        <v>1931</v>
      </c>
      <c r="Q60" s="10">
        <f t="shared" si="6"/>
        <v>113.03608720690977</v>
      </c>
      <c r="R60" s="10">
        <f>Assumptions!$E$16</f>
        <v>0.5</v>
      </c>
      <c r="S60" s="10">
        <f t="shared" si="18"/>
        <v>4.7472895905157966</v>
      </c>
      <c r="T60" s="10">
        <f t="shared" si="7"/>
        <v>4.7472895905157966</v>
      </c>
      <c r="U60" s="10">
        <f>'PDB_woody perennials'!K763</f>
        <v>2.1693231169179407E-2</v>
      </c>
      <c r="V60" s="80">
        <f>'PDB_woody perennials'!G763</f>
        <v>144.64860000000002</v>
      </c>
      <c r="W60" s="58">
        <f>'PDB_woody perennials'!J763</f>
        <v>1817.9639127930902</v>
      </c>
      <c r="X60" s="10">
        <f t="shared" si="8"/>
        <v>106.39102848989864</v>
      </c>
      <c r="Y60" s="10">
        <f>Assumptions!$E$16</f>
        <v>0.5</v>
      </c>
      <c r="Z60" s="10">
        <f t="shared" si="19"/>
        <v>4.2312694881565598</v>
      </c>
      <c r="AA60" s="10">
        <f t="shared" si="9"/>
        <v>4.2312694881565598</v>
      </c>
      <c r="AB60" s="10">
        <f>'PDB_woody perennials'!K660</f>
        <v>2.054275599181599E-2</v>
      </c>
      <c r="AC60" s="80">
        <f>'PDB_woody perennials'!G660</f>
        <v>142.04492520000002</v>
      </c>
      <c r="AD60" s="58">
        <f>'PDB_woody perennials'!J660</f>
        <v>1711.5728843031916</v>
      </c>
      <c r="AE60" s="10">
        <f t="shared" si="10"/>
        <v>89.243164007310497</v>
      </c>
      <c r="AF60" s="10">
        <f>Assumptions!$E$16</f>
        <v>0.5</v>
      </c>
      <c r="AG60" s="10">
        <f t="shared" si="20"/>
        <v>3.3610509939229569</v>
      </c>
      <c r="AH60" s="10">
        <f t="shared" si="11"/>
        <v>3.3610509939229569</v>
      </c>
      <c r="AI60" s="10">
        <f>'PDB_woody perennials'!K557</f>
        <v>1.9572396397681994E-2</v>
      </c>
      <c r="AJ60" s="80">
        <f>'PDB_woody perennials'!G557</f>
        <v>139.77220639680002</v>
      </c>
      <c r="AK60" s="58">
        <f>'PDB_woody perennials'!J557</f>
        <v>1622.3297202958811</v>
      </c>
      <c r="AL60" s="10">
        <f>AK60-'BR_woody perennials'!AH47</f>
        <v>81.893532356418746</v>
      </c>
      <c r="AM60" s="10">
        <f>Assumptions!$E$16</f>
        <v>0.5</v>
      </c>
      <c r="AN60" s="10">
        <f t="shared" si="4"/>
        <v>2.9385632424247441</v>
      </c>
      <c r="AO60" s="10">
        <f t="shared" si="12"/>
        <v>2.9385632424247441</v>
      </c>
    </row>
    <row r="61" spans="1:41" x14ac:dyDescent="0.2">
      <c r="A61" s="585"/>
      <c r="B61" s="585"/>
      <c r="C61" s="585"/>
      <c r="D61" s="585"/>
      <c r="E61" s="588"/>
      <c r="F61" s="55" t="s">
        <v>171</v>
      </c>
      <c r="G61" s="10">
        <f>'PDB_woody perennials'!K966</f>
        <v>8.6068773750000008E-2</v>
      </c>
      <c r="H61" s="80">
        <f>'PDB_woody perennials'!G966</f>
        <v>87</v>
      </c>
      <c r="I61" s="10">
        <f>'PDB_woody perennials'!J966</f>
        <v>9754.3255450402085</v>
      </c>
      <c r="J61" s="10">
        <f t="shared" si="14"/>
        <v>-11357.174454959792</v>
      </c>
      <c r="K61" s="10">
        <f>Assumptions!$E$16</f>
        <v>0.5</v>
      </c>
      <c r="L61" s="10">
        <f t="shared" si="16"/>
        <v>-1792.0798107725589</v>
      </c>
      <c r="M61" s="10">
        <f t="shared" si="17"/>
        <v>-1792.0798107725589</v>
      </c>
      <c r="N61" s="10">
        <f>'PDB_woody perennials'!K867</f>
        <v>0.187366</v>
      </c>
      <c r="O61" s="80">
        <f>'PDB_woody perennials'!G867</f>
        <v>196</v>
      </c>
      <c r="P61" s="10">
        <f>'PDB_woody perennials'!J867</f>
        <v>21111.5</v>
      </c>
      <c r="Q61" s="10">
        <f t="shared" si="6"/>
        <v>1235.5329651352622</v>
      </c>
      <c r="R61" s="10">
        <f>Assumptions!$E$16</f>
        <v>0.5</v>
      </c>
      <c r="S61" s="10">
        <f t="shared" si="18"/>
        <v>424.41092750014485</v>
      </c>
      <c r="T61" s="10">
        <f t="shared" si="7"/>
        <v>424.41092750014485</v>
      </c>
      <c r="U61" s="10">
        <f>'PDB_woody perennials'!K764</f>
        <v>0.17742927797268801</v>
      </c>
      <c r="V61" s="80">
        <f>'PDB_woody perennials'!G764</f>
        <v>192.8648</v>
      </c>
      <c r="W61" s="58">
        <f>'PDB_woody perennials'!J764</f>
        <v>19875.967034864738</v>
      </c>
      <c r="X61" s="10">
        <f t="shared" si="8"/>
        <v>1163.1829213935125</v>
      </c>
      <c r="Y61" s="10">
        <f>Assumptions!$E$16</f>
        <v>0.5</v>
      </c>
      <c r="Z61" s="10">
        <f t="shared" si="19"/>
        <v>378.36829413719016</v>
      </c>
      <c r="AA61" s="10">
        <f t="shared" si="9"/>
        <v>378.36829413719016</v>
      </c>
      <c r="AB61" s="10">
        <f>'PDB_woody perennials'!K661</f>
        <v>0.16801952345280316</v>
      </c>
      <c r="AC61" s="80">
        <f>'PDB_woody perennials'!G661</f>
        <v>189.3932336</v>
      </c>
      <c r="AD61" s="58">
        <f>'PDB_woody perennials'!J661</f>
        <v>18712.784113471225</v>
      </c>
      <c r="AE61" s="10">
        <f t="shared" si="10"/>
        <v>975.70373834928978</v>
      </c>
      <c r="AF61" s="10">
        <f>Assumptions!$E$16</f>
        <v>0.5</v>
      </c>
      <c r="AG61" s="10">
        <f t="shared" si="20"/>
        <v>300.55167477237137</v>
      </c>
      <c r="AH61" s="10">
        <f t="shared" si="11"/>
        <v>300.55167477237137</v>
      </c>
      <c r="AI61" s="10">
        <f>'PDB_woody perennials'!K558</f>
        <v>0.16008293711311225</v>
      </c>
      <c r="AJ61" s="80">
        <f>'PDB_woody perennials'!G558</f>
        <v>186.36294186239999</v>
      </c>
      <c r="AK61" s="58">
        <f>'PDB_woody perennials'!J558</f>
        <v>17737.080375121936</v>
      </c>
      <c r="AL61" s="10">
        <f>AK61-'BR_woody perennials'!AH48</f>
        <v>895.34953803566896</v>
      </c>
      <c r="AM61" s="10">
        <f>Assumptions!$E$16</f>
        <v>0.5</v>
      </c>
      <c r="AN61" s="10">
        <f t="shared" si="4"/>
        <v>262.7720036179665</v>
      </c>
      <c r="AO61" s="10">
        <f t="shared" si="12"/>
        <v>262.7720036179665</v>
      </c>
    </row>
    <row r="62" spans="1:41" x14ac:dyDescent="0.2">
      <c r="A62" s="585"/>
      <c r="B62" s="585"/>
      <c r="C62" s="585"/>
      <c r="D62" s="585"/>
      <c r="E62" s="588"/>
      <c r="F62" s="55" t="s">
        <v>187</v>
      </c>
      <c r="G62" s="10">
        <f>'PDB_woody perennials'!K967</f>
        <v>3.5325000000000002E-2</v>
      </c>
      <c r="H62" s="80">
        <f>'PDB_woody perennials'!G967</f>
        <v>50</v>
      </c>
      <c r="I62" s="10">
        <f>'PDB_woody perennials'!J967</f>
        <v>3793.4951172764918</v>
      </c>
      <c r="J62" s="10">
        <f t="shared" si="14"/>
        <v>221.99511727649178</v>
      </c>
      <c r="K62" s="10">
        <f>Assumptions!$E$16</f>
        <v>0.5</v>
      </c>
      <c r="L62" s="10">
        <f t="shared" si="16"/>
        <v>14.3769587826188</v>
      </c>
      <c r="M62" s="10">
        <f t="shared" si="17"/>
        <v>14.3769587826188</v>
      </c>
      <c r="N62" s="10">
        <f>'PDB_woody perennials'!K868</f>
        <v>3.3452000000000003E-2</v>
      </c>
      <c r="O62" s="80">
        <f>'PDB_woody perennials'!G868</f>
        <v>49</v>
      </c>
      <c r="P62" s="10">
        <f>'PDB_woody perennials'!J868</f>
        <v>3571.5</v>
      </c>
      <c r="Q62" s="10">
        <f t="shared" si="6"/>
        <v>209.01923757894929</v>
      </c>
      <c r="R62" s="10">
        <f>Assumptions!$E$16</f>
        <v>0.5</v>
      </c>
      <c r="S62" s="10">
        <f t="shared" si="18"/>
        <v>12.81887114840019</v>
      </c>
      <c r="T62" s="10">
        <f t="shared" si="7"/>
        <v>12.81887114840019</v>
      </c>
      <c r="U62" s="10">
        <f>'PDB_woody perennials'!K765</f>
        <v>3.1677514416865553E-2</v>
      </c>
      <c r="V62" s="80">
        <f>'PDB_woody perennials'!G765</f>
        <v>48.216200000000001</v>
      </c>
      <c r="W62" s="58">
        <f>'PDB_woody perennials'!J765</f>
        <v>3362.4807624210507</v>
      </c>
      <c r="X62" s="10">
        <f t="shared" si="8"/>
        <v>196.77936623167216</v>
      </c>
      <c r="Y62" s="10">
        <f>Assumptions!$E$16</f>
        <v>0.5</v>
      </c>
      <c r="Z62" s="10">
        <f t="shared" si="19"/>
        <v>11.42804888636668</v>
      </c>
      <c r="AA62" s="10">
        <f t="shared" si="9"/>
        <v>11.42804888636668</v>
      </c>
      <c r="AB62" s="10">
        <f>'PDB_woody perennials'!K662</f>
        <v>2.9997534439103933E-2</v>
      </c>
      <c r="AC62" s="80">
        <f>'PDB_woody perennials'!G662</f>
        <v>47.348308400000001</v>
      </c>
      <c r="AD62" s="58">
        <f>'PDB_woody perennials'!J662</f>
        <v>3165.7013961893786</v>
      </c>
      <c r="AE62" s="10">
        <f t="shared" si="10"/>
        <v>165.06291463791558</v>
      </c>
      <c r="AF62" s="10">
        <f>Assumptions!$E$16</f>
        <v>0.5</v>
      </c>
      <c r="AG62" s="10">
        <f t="shared" si="20"/>
        <v>9.0777141885278674</v>
      </c>
      <c r="AH62" s="10">
        <f t="shared" si="11"/>
        <v>9.0777141885278674</v>
      </c>
      <c r="AI62" s="10">
        <f>'PDB_woody perennials'!K559</f>
        <v>2.8580568022575106E-2</v>
      </c>
      <c r="AJ62" s="80">
        <f>'PDB_woody perennials'!G559</f>
        <v>46.590735465599998</v>
      </c>
      <c r="AK62" s="58">
        <f>'PDB_woody perennials'!J559</f>
        <v>3000.638481551463</v>
      </c>
      <c r="AL62" s="10">
        <f>AK62-'BR_woody perennials'!AH49</f>
        <v>151.46913818113035</v>
      </c>
      <c r="AM62" s="10">
        <f>Assumptions!$E$16</f>
        <v>0.5</v>
      </c>
      <c r="AN62" s="10">
        <f t="shared" si="4"/>
        <v>7.9366356796954776</v>
      </c>
      <c r="AO62" s="10">
        <f t="shared" si="12"/>
        <v>7.9366356796954776</v>
      </c>
    </row>
    <row r="63" spans="1:41" x14ac:dyDescent="0.2">
      <c r="A63" s="585"/>
      <c r="B63" s="585"/>
      <c r="C63" s="585"/>
      <c r="D63" s="585"/>
      <c r="E63" s="588"/>
      <c r="F63" s="55" t="s">
        <v>188</v>
      </c>
      <c r="G63" s="10">
        <f>'PDB_woody perennials'!K968</f>
        <v>4.7119625000000005E-2</v>
      </c>
      <c r="H63" s="80">
        <f>'PDB_woody perennials'!G968</f>
        <v>100</v>
      </c>
      <c r="I63" s="10">
        <f>'PDB_woody perennials'!J968</f>
        <v>4742.5675984669251</v>
      </c>
      <c r="J63" s="10">
        <f t="shared" si="14"/>
        <v>-4187.4324015330749</v>
      </c>
      <c r="K63" s="10">
        <f>Assumptions!$E$16</f>
        <v>0.5</v>
      </c>
      <c r="L63" s="10">
        <f>G63*J63*K63*44/12</f>
        <v>-361.73544820066127</v>
      </c>
      <c r="M63" s="10">
        <f t="shared" si="17"/>
        <v>-361.73544820066127</v>
      </c>
      <c r="N63" s="10">
        <f>'PDB_woody perennials'!K869</f>
        <v>8.9241000000000001E-2</v>
      </c>
      <c r="O63" s="80">
        <f>'PDB_woody perennials'!G869</f>
        <v>196</v>
      </c>
      <c r="P63" s="10">
        <f>'PDB_woody perennials'!J869</f>
        <v>8930</v>
      </c>
      <c r="Q63" s="10">
        <f t="shared" si="6"/>
        <v>522.5594622748431</v>
      </c>
      <c r="R63" s="10">
        <f>Assumptions!$E$16</f>
        <v>0.5</v>
      </c>
      <c r="S63" s="10">
        <f t="shared" si="18"/>
        <v>85.495169783593667</v>
      </c>
      <c r="T63" s="10">
        <f t="shared" si="7"/>
        <v>85.495169783593667</v>
      </c>
      <c r="U63" s="10">
        <f>'PDB_woody perennials'!K766</f>
        <v>8.4508569016549087E-2</v>
      </c>
      <c r="V63" s="80">
        <f>'PDB_woody perennials'!G766</f>
        <v>192.8648</v>
      </c>
      <c r="W63" s="58">
        <f>'PDB_woody perennials'!J766</f>
        <v>8407.4405377251569</v>
      </c>
      <c r="X63" s="10">
        <f t="shared" si="8"/>
        <v>492.02090288029467</v>
      </c>
      <c r="Y63" s="10">
        <f>Assumptions!$E$16</f>
        <v>0.5</v>
      </c>
      <c r="Z63" s="10">
        <f t="shared" si="19"/>
        <v>76.229967785847663</v>
      </c>
      <c r="AA63" s="10">
        <f t="shared" si="9"/>
        <v>76.229967785847663</v>
      </c>
      <c r="AB63" s="10">
        <f>'PDB_woody perennials'!K663</f>
        <v>8.0026755764765006E-2</v>
      </c>
      <c r="AC63" s="80">
        <f>'PDB_woody perennials'!G663</f>
        <v>189.3932336</v>
      </c>
      <c r="AD63" s="58">
        <f>'PDB_woody perennials'!J663</f>
        <v>7915.4196348448622</v>
      </c>
      <c r="AE63" s="10">
        <f t="shared" si="10"/>
        <v>412.71809055723043</v>
      </c>
      <c r="AF63" s="10">
        <f>Assumptions!$E$16</f>
        <v>0.5</v>
      </c>
      <c r="AG63" s="10">
        <f t="shared" si="20"/>
        <v>60.55223135999335</v>
      </c>
      <c r="AH63" s="10">
        <f t="shared" si="11"/>
        <v>60.55223135999335</v>
      </c>
      <c r="AI63" s="10">
        <f>'PDB_woody perennials'!K560</f>
        <v>7.6246604246892002E-2</v>
      </c>
      <c r="AJ63" s="80">
        <f>'PDB_woody perennials'!G560</f>
        <v>186.36294186239999</v>
      </c>
      <c r="AK63" s="58">
        <f>'PDB_woody perennials'!J560</f>
        <v>7502.7015442876318</v>
      </c>
      <c r="AL63" s="10">
        <f>AK63-'BR_woody perennials'!AH50</f>
        <v>378.72864189755182</v>
      </c>
      <c r="AM63" s="10">
        <f>Assumptions!$E$16</f>
        <v>0.5</v>
      </c>
      <c r="AN63" s="10">
        <f t="shared" si="4"/>
        <v>52.940750272163449</v>
      </c>
      <c r="AO63" s="10">
        <f t="shared" si="12"/>
        <v>52.940750272163449</v>
      </c>
    </row>
    <row r="64" spans="1:41" x14ac:dyDescent="0.2">
      <c r="A64" s="585"/>
      <c r="B64" s="585"/>
      <c r="C64" s="585"/>
      <c r="D64" s="585"/>
      <c r="E64" s="588"/>
      <c r="F64" s="55" t="s">
        <v>376</v>
      </c>
      <c r="G64" s="10">
        <f>'PDB_woody perennials'!K969</f>
        <v>1.7619325000000001E-3</v>
      </c>
      <c r="H64" s="80">
        <f>'PDB_woody perennials'!G969</f>
        <v>50</v>
      </c>
      <c r="I64" s="10">
        <f>'PDB_woody perennials'!J969</f>
        <v>117.11479450881647</v>
      </c>
      <c r="J64" s="10">
        <f t="shared" si="14"/>
        <v>117.11479450881647</v>
      </c>
      <c r="K64" s="10">
        <f>Assumptions!$E$16</f>
        <v>0.5</v>
      </c>
      <c r="L64" s="10">
        <f t="shared" si="16"/>
        <v>0.37830533157249296</v>
      </c>
      <c r="M64" s="10">
        <f t="shared" si="17"/>
        <v>0.37830533157249296</v>
      </c>
      <c r="N64" s="10"/>
      <c r="O64" s="76"/>
      <c r="P64" s="10"/>
      <c r="Q64" s="10"/>
      <c r="R64" s="10">
        <f>Assumptions!$E$16</f>
        <v>0.5</v>
      </c>
      <c r="S64" s="10"/>
      <c r="T64" s="10"/>
      <c r="U64" s="10"/>
      <c r="V64" s="76"/>
      <c r="W64" s="58"/>
      <c r="X64" s="10"/>
      <c r="Y64" s="10">
        <f>Assumptions!$E$16</f>
        <v>0.5</v>
      </c>
      <c r="Z64" s="10"/>
      <c r="AA64" s="10"/>
      <c r="AB64" s="10"/>
      <c r="AC64" s="76"/>
      <c r="AD64" s="58"/>
      <c r="AE64" s="10"/>
      <c r="AF64" s="10">
        <f>Assumptions!$E$16</f>
        <v>0.5</v>
      </c>
      <c r="AG64" s="10"/>
      <c r="AH64" s="10"/>
      <c r="AI64" s="10"/>
      <c r="AJ64" s="76"/>
      <c r="AK64" s="58"/>
      <c r="AL64" s="10"/>
      <c r="AM64" s="10">
        <f>Assumptions!$E$16</f>
        <v>0.5</v>
      </c>
      <c r="AN64" s="10"/>
      <c r="AO64" s="10"/>
    </row>
    <row r="65" spans="1:41" x14ac:dyDescent="0.2">
      <c r="A65" s="585"/>
      <c r="B65" s="585"/>
      <c r="C65" s="585"/>
      <c r="D65" s="585"/>
      <c r="E65" s="588"/>
      <c r="F65" s="55" t="s">
        <v>377</v>
      </c>
      <c r="G65" s="10">
        <f>'PDB_woody perennials'!K970</f>
        <v>3.8465000000000005E-3</v>
      </c>
      <c r="H65" s="80">
        <f>'PDB_woody perennials'!G970</f>
        <v>100</v>
      </c>
      <c r="I65" s="10">
        <f>'PDB_woody perennials'!J970</f>
        <v>259.2839695364479</v>
      </c>
      <c r="J65" s="10">
        <f t="shared" si="14"/>
        <v>259.2839695364479</v>
      </c>
      <c r="K65" s="10">
        <f>Assumptions!$E$16</f>
        <v>0.5</v>
      </c>
      <c r="L65" s="10">
        <f t="shared" si="16"/>
        <v>1.8284489461735696</v>
      </c>
      <c r="M65" s="10">
        <f t="shared" si="17"/>
        <v>1.8284489461735696</v>
      </c>
      <c r="N65" s="10"/>
      <c r="O65" s="76"/>
      <c r="P65" s="10"/>
      <c r="Q65" s="10"/>
      <c r="R65" s="10">
        <f>Assumptions!$E$16</f>
        <v>0.5</v>
      </c>
      <c r="S65" s="10"/>
      <c r="T65" s="10"/>
      <c r="U65" s="10"/>
      <c r="V65" s="76"/>
      <c r="W65" s="58"/>
      <c r="X65" s="10"/>
      <c r="Y65" s="10">
        <f>Assumptions!$E$16</f>
        <v>0.5</v>
      </c>
      <c r="Z65" s="10"/>
      <c r="AA65" s="10"/>
      <c r="AB65" s="10"/>
      <c r="AC65" s="76"/>
      <c r="AD65" s="58"/>
      <c r="AE65" s="10"/>
      <c r="AF65" s="10">
        <f>Assumptions!$E$16</f>
        <v>0.5</v>
      </c>
      <c r="AG65" s="10"/>
      <c r="AH65" s="10"/>
      <c r="AI65" s="10"/>
      <c r="AJ65" s="76"/>
      <c r="AK65" s="58"/>
      <c r="AL65" s="10"/>
      <c r="AM65" s="10">
        <f>Assumptions!$E$16</f>
        <v>0.5</v>
      </c>
      <c r="AN65" s="10"/>
      <c r="AO65" s="10"/>
    </row>
    <row r="66" spans="1:41" x14ac:dyDescent="0.2">
      <c r="A66" s="585"/>
      <c r="B66" s="585"/>
      <c r="C66" s="585"/>
      <c r="D66" s="585"/>
      <c r="E66" s="588"/>
      <c r="F66" s="55" t="s">
        <v>378</v>
      </c>
      <c r="G66" s="10">
        <f>'PDB_woody perennials'!K971</f>
        <v>4.8571875000000007E-2</v>
      </c>
      <c r="H66" s="80">
        <f>'PDB_woody perennials'!G971</f>
        <v>275</v>
      </c>
      <c r="I66" s="10">
        <f>'PDB_woody perennials'!J971</f>
        <v>4178.4251701960739</v>
      </c>
      <c r="J66" s="10">
        <f t="shared" si="14"/>
        <v>4178.4251701960739</v>
      </c>
      <c r="K66" s="10">
        <f>Assumptions!$E$16</f>
        <v>0.5</v>
      </c>
      <c r="L66" s="10">
        <f t="shared" si="16"/>
        <v>372.08223261663198</v>
      </c>
      <c r="M66" s="10">
        <f t="shared" si="17"/>
        <v>372.08223261663198</v>
      </c>
      <c r="N66" s="10"/>
      <c r="O66" s="76"/>
      <c r="P66" s="10"/>
      <c r="Q66" s="10"/>
      <c r="R66" s="10">
        <f>Assumptions!$E$16</f>
        <v>0.5</v>
      </c>
      <c r="S66" s="10"/>
      <c r="T66" s="10"/>
      <c r="U66" s="10"/>
      <c r="V66" s="76"/>
      <c r="W66" s="58"/>
      <c r="X66" s="10"/>
      <c r="Y66" s="10">
        <f>Assumptions!$E$16</f>
        <v>0.5</v>
      </c>
      <c r="Z66" s="10"/>
      <c r="AA66" s="10"/>
      <c r="AB66" s="10"/>
      <c r="AC66" s="76"/>
      <c r="AD66" s="58"/>
      <c r="AE66" s="10"/>
      <c r="AF66" s="10">
        <f>Assumptions!$E$16</f>
        <v>0.5</v>
      </c>
      <c r="AG66" s="10"/>
      <c r="AH66" s="10"/>
      <c r="AI66" s="10"/>
      <c r="AJ66" s="76"/>
      <c r="AK66" s="58"/>
      <c r="AL66" s="10"/>
      <c r="AM66" s="10">
        <f>Assumptions!$E$16</f>
        <v>0.5</v>
      </c>
      <c r="AN66" s="10"/>
      <c r="AO66" s="10"/>
    </row>
    <row r="67" spans="1:41" x14ac:dyDescent="0.2">
      <c r="A67" s="586"/>
      <c r="B67" s="586"/>
      <c r="C67" s="586"/>
      <c r="D67" s="586"/>
      <c r="E67" s="589"/>
      <c r="F67" s="55" t="s">
        <v>379</v>
      </c>
      <c r="G67" s="10">
        <f>'PDB_woody perennials'!K972</f>
        <v>5.396875000000001E-2</v>
      </c>
      <c r="H67" s="80">
        <f>'PDB_woody perennials'!G972</f>
        <v>110</v>
      </c>
      <c r="I67" s="10">
        <f>'PDB_woody perennials'!J972</f>
        <v>5467.1591869010908</v>
      </c>
      <c r="J67" s="10">
        <f t="shared" si="14"/>
        <v>5467.1591869010908</v>
      </c>
      <c r="K67" s="10">
        <f>Assumptions!$E$16</f>
        <v>0.5</v>
      </c>
      <c r="L67" s="10">
        <f t="shared" si="16"/>
        <v>540.93553684145854</v>
      </c>
      <c r="M67" s="10">
        <f t="shared" si="17"/>
        <v>540.93553684145854</v>
      </c>
      <c r="N67" s="10"/>
      <c r="O67" s="76"/>
      <c r="P67" s="10"/>
      <c r="Q67" s="10"/>
      <c r="R67" s="10">
        <f>Assumptions!$E$16</f>
        <v>0.5</v>
      </c>
      <c r="S67" s="10"/>
      <c r="T67" s="10"/>
      <c r="U67" s="10"/>
      <c r="V67" s="76"/>
      <c r="W67" s="58"/>
      <c r="X67" s="10"/>
      <c r="Y67" s="10">
        <f>Assumptions!$E$16</f>
        <v>0.5</v>
      </c>
      <c r="Z67" s="10"/>
      <c r="AA67" s="10"/>
      <c r="AB67" s="10"/>
      <c r="AC67" s="76"/>
      <c r="AD67" s="58"/>
      <c r="AE67" s="10"/>
      <c r="AF67" s="10">
        <f>Assumptions!$E$16</f>
        <v>0.5</v>
      </c>
      <c r="AG67" s="10"/>
      <c r="AH67" s="10"/>
      <c r="AI67" s="10"/>
      <c r="AJ67" s="76"/>
      <c r="AK67" s="58"/>
      <c r="AL67" s="10"/>
      <c r="AM67" s="10">
        <f>Assumptions!$E$16</f>
        <v>0.5</v>
      </c>
      <c r="AN67" s="10"/>
      <c r="AO67" s="10"/>
    </row>
    <row r="68" spans="1:41" ht="14.5" customHeight="1" x14ac:dyDescent="0.2">
      <c r="A68" s="584" t="s">
        <v>18</v>
      </c>
      <c r="B68" s="584"/>
      <c r="C68" s="584"/>
      <c r="D68" s="584" t="s">
        <v>35</v>
      </c>
      <c r="E68" s="587">
        <f>Assumptions!D70</f>
        <v>2860.4270000000001</v>
      </c>
      <c r="F68" s="55" t="s">
        <v>189</v>
      </c>
      <c r="G68" s="10">
        <f>'PDB_woody perennials'!K973</f>
        <v>1.6579200000000002E-3</v>
      </c>
      <c r="H68" s="80">
        <f>'PDB_woody perennials'!G973</f>
        <v>33</v>
      </c>
      <c r="I68" s="10">
        <f>'PDB_woody perennials'!J973</f>
        <v>116.63554521475747</v>
      </c>
      <c r="J68" s="10">
        <f t="shared" si="14"/>
        <v>-216.16445478524253</v>
      </c>
      <c r="K68" s="10">
        <f>Assumptions!$E$16</f>
        <v>0.5</v>
      </c>
      <c r="L68" s="10">
        <f t="shared" si="16"/>
        <v>-0.65703618360884042</v>
      </c>
      <c r="M68" s="10">
        <f t="shared" si="17"/>
        <v>-0.65703618360884042</v>
      </c>
      <c r="N68" s="10">
        <f>'PDB_woody perennials'!K870</f>
        <v>4.7580000000000001E-3</v>
      </c>
      <c r="O68" s="80">
        <f>'PDB_woody perennials'!G870</f>
        <v>98</v>
      </c>
      <c r="P68" s="10">
        <f>'PDB_woody perennials'!J870</f>
        <v>332.8</v>
      </c>
      <c r="Q68" s="10">
        <f t="shared" si="6"/>
        <v>19.516687002787307</v>
      </c>
      <c r="R68" s="10">
        <f>Assumptions!$E$16</f>
        <v>0.5</v>
      </c>
      <c r="S68" s="10">
        <f t="shared" ref="S68:S94" si="21">N68*Q68*R68*44/12</f>
        <v>0.1702440607253137</v>
      </c>
      <c r="T68" s="10">
        <f t="shared" si="7"/>
        <v>0.1702440607253137</v>
      </c>
      <c r="U68" s="10">
        <f>'PDB_woody perennials'!K767</f>
        <v>4.5052464948431006E-3</v>
      </c>
      <c r="V68" s="80">
        <f>'PDB_woody perennials'!G767</f>
        <v>96.432400000000001</v>
      </c>
      <c r="W68" s="58">
        <f>'PDB_woody perennials'!J767</f>
        <v>313.2833129972127</v>
      </c>
      <c r="X68" s="10">
        <f t="shared" si="8"/>
        <v>18.333990924653676</v>
      </c>
      <c r="Y68" s="10">
        <f>Assumptions!$E$16</f>
        <v>0.5</v>
      </c>
      <c r="Z68" s="10">
        <f t="shared" si="19"/>
        <v>0.15143177197459884</v>
      </c>
      <c r="AA68" s="10">
        <f t="shared" si="9"/>
        <v>0.15143177197459884</v>
      </c>
      <c r="AB68" s="10">
        <f>'PDB_woody perennials'!K664</f>
        <v>4.2663160091170023E-3</v>
      </c>
      <c r="AC68" s="80">
        <f>'PDB_woody perennials'!G664</f>
        <v>94.696616800000001</v>
      </c>
      <c r="AD68" s="58">
        <f>'PDB_woody perennials'!J664</f>
        <v>294.94932207255903</v>
      </c>
      <c r="AE68" s="10">
        <f t="shared" si="10"/>
        <v>15.378959882437755</v>
      </c>
      <c r="AF68" s="10">
        <f>Assumptions!$E$16</f>
        <v>0.5</v>
      </c>
      <c r="AG68" s="10">
        <f t="shared" si="20"/>
        <v>0.12028775504168927</v>
      </c>
      <c r="AH68" s="10">
        <f t="shared" si="11"/>
        <v>0.12028775504168927</v>
      </c>
      <c r="AI68" s="10">
        <f>'PDB_woody perennials'!K561</f>
        <v>4.0647918965440151E-3</v>
      </c>
      <c r="AJ68" s="80">
        <f>'PDB_woody perennials'!G561</f>
        <v>93.181470931199996</v>
      </c>
      <c r="AK68" s="58">
        <f>'PDB_woody perennials'!J561</f>
        <v>279.57036219012127</v>
      </c>
      <c r="AL68" s="10">
        <f>AK68-'BR_woody perennials'!AH51</f>
        <v>14.112423766567645</v>
      </c>
      <c r="AM68" s="10">
        <f>Assumptions!$E$16</f>
        <v>0.5</v>
      </c>
      <c r="AN68" s="10">
        <f t="shared" si="4"/>
        <v>0.10516745390605543</v>
      </c>
      <c r="AO68" s="10">
        <f t="shared" si="12"/>
        <v>0.10516745390605543</v>
      </c>
    </row>
    <row r="69" spans="1:41" x14ac:dyDescent="0.2">
      <c r="A69" s="585"/>
      <c r="B69" s="585"/>
      <c r="C69" s="585"/>
      <c r="D69" s="585"/>
      <c r="E69" s="588"/>
      <c r="F69" s="55" t="s">
        <v>190</v>
      </c>
      <c r="G69" s="10">
        <f>'PDB_woody perennials'!K974</f>
        <v>1.0270155000000001E-2</v>
      </c>
      <c r="H69" s="80">
        <f>'PDB_woody perennials'!G974</f>
        <v>267</v>
      </c>
      <c r="I69" s="10">
        <f>'PDB_woody perennials'!J974</f>
        <v>692.28819866231595</v>
      </c>
      <c r="J69" s="10">
        <f t="shared" si="14"/>
        <v>-1260.611801337684</v>
      </c>
      <c r="K69" s="10">
        <f>Assumptions!$E$16</f>
        <v>0.5</v>
      </c>
      <c r="L69" s="10">
        <f t="shared" si="16"/>
        <v>-23.735577423373243</v>
      </c>
      <c r="M69" s="10">
        <f t="shared" si="17"/>
        <v>-23.735577423373243</v>
      </c>
      <c r="N69" s="10">
        <f>'PDB_woody perennials'!K871</f>
        <v>2.9139999999999999E-2</v>
      </c>
      <c r="O69" s="80">
        <f>'PDB_woody perennials'!G871</f>
        <v>786</v>
      </c>
      <c r="P69" s="10">
        <f>'PDB_woody perennials'!J871</f>
        <v>1952.9</v>
      </c>
      <c r="Q69" s="10">
        <f t="shared" si="6"/>
        <v>114.30560065589611</v>
      </c>
      <c r="R69" s="10">
        <f>Assumptions!$E$16</f>
        <v>0.5</v>
      </c>
      <c r="S69" s="10">
        <f t="shared" si="21"/>
        <v>6.1065862057068232</v>
      </c>
      <c r="T69" s="10">
        <f t="shared" si="7"/>
        <v>6.1065862057068232</v>
      </c>
      <c r="U69" s="10">
        <f>'PDB_woody perennials'!K768</f>
        <v>2.7594634780913986E-2</v>
      </c>
      <c r="V69" s="80">
        <f>'PDB_woody perennials'!G768</f>
        <v>771.45920000000001</v>
      </c>
      <c r="W69" s="58">
        <f>'PDB_woody perennials'!J768</f>
        <v>1838.594399344104</v>
      </c>
      <c r="X69" s="10">
        <f t="shared" si="8"/>
        <v>107.59836746233827</v>
      </c>
      <c r="Y69" s="10">
        <f>Assumptions!$E$16</f>
        <v>0.5</v>
      </c>
      <c r="Z69" s="10">
        <f t="shared" si="19"/>
        <v>5.4434190307673065</v>
      </c>
      <c r="AA69" s="10">
        <f t="shared" si="9"/>
        <v>5.4434190307673065</v>
      </c>
      <c r="AB69" s="10">
        <f>'PDB_woody perennials'!K665</f>
        <v>2.6131185555841634E-2</v>
      </c>
      <c r="AC69" s="80">
        <f>'PDB_woody perennials'!G665</f>
        <v>757.57293440000001</v>
      </c>
      <c r="AD69" s="58">
        <f>'PDB_woody perennials'!J665</f>
        <v>1730.9960318817657</v>
      </c>
      <c r="AE69" s="10">
        <f t="shared" si="10"/>
        <v>90.255906824630529</v>
      </c>
      <c r="AF69" s="10">
        <f>Assumptions!$E$16</f>
        <v>0.5</v>
      </c>
      <c r="AG69" s="10">
        <f t="shared" si="20"/>
        <v>4.3239053893661525</v>
      </c>
      <c r="AH69" s="10">
        <f t="shared" si="11"/>
        <v>4.3239053893661525</v>
      </c>
      <c r="AI69" s="10">
        <f>'PDB_woody perennials'!K562</f>
        <v>2.4896850366332088E-2</v>
      </c>
      <c r="AJ69" s="80">
        <f>'PDB_woody perennials'!G562</f>
        <v>745.45176744959997</v>
      </c>
      <c r="AK69" s="58">
        <f>'PDB_woody perennials'!J562</f>
        <v>1640.7401250571352</v>
      </c>
      <c r="AL69" s="10">
        <f>AK69-'BR_woody perennials'!AH52</f>
        <v>82.822870615555757</v>
      </c>
      <c r="AM69" s="10">
        <f>Assumptions!$E$16</f>
        <v>0.5</v>
      </c>
      <c r="AN69" s="10">
        <f t="shared" si="4"/>
        <v>3.7803857971468862</v>
      </c>
      <c r="AO69" s="10">
        <f t="shared" si="12"/>
        <v>3.7803857971468862</v>
      </c>
    </row>
    <row r="70" spans="1:41" x14ac:dyDescent="0.2">
      <c r="A70" s="585"/>
      <c r="B70" s="585"/>
      <c r="C70" s="585"/>
      <c r="D70" s="585"/>
      <c r="E70" s="588"/>
      <c r="F70" s="55" t="s">
        <v>191</v>
      </c>
      <c r="G70" s="10">
        <f>'PDB_woody perennials'!K975</f>
        <v>9.3258000000000013E-4</v>
      </c>
      <c r="H70" s="80">
        <f>'PDB_woody perennials'!G975</f>
        <v>33</v>
      </c>
      <c r="I70" s="10">
        <f>'PDB_woody perennials'!J975</f>
        <v>59.837446871563145</v>
      </c>
      <c r="J70" s="10">
        <f t="shared" si="14"/>
        <v>-110.86255312843684</v>
      </c>
      <c r="K70" s="10">
        <f>Assumptions!$E$16</f>
        <v>0.5</v>
      </c>
      <c r="L70" s="10">
        <f t="shared" si="16"/>
        <v>-0.18954503296028236</v>
      </c>
      <c r="M70" s="10">
        <f t="shared" si="17"/>
        <v>-0.18954503296028236</v>
      </c>
      <c r="N70" s="10">
        <f>'PDB_woody perennials'!K872</f>
        <v>2.676E-3</v>
      </c>
      <c r="O70" s="80">
        <f>'PDB_woody perennials'!G872</f>
        <v>98</v>
      </c>
      <c r="P70" s="10">
        <f>'PDB_woody perennials'!J872</f>
        <v>170.7</v>
      </c>
      <c r="Q70" s="10">
        <f t="shared" si="6"/>
        <v>9.9764953196603585</v>
      </c>
      <c r="R70" s="10">
        <f>Assumptions!$E$16</f>
        <v>0.5</v>
      </c>
      <c r="S70" s="10">
        <f t="shared" si="21"/>
        <v>4.8944686038253721E-2</v>
      </c>
      <c r="T70" s="10">
        <f t="shared" si="7"/>
        <v>4.8944686038253721E-2</v>
      </c>
      <c r="U70" s="10">
        <f>'PDB_woody perennials'!K769</f>
        <v>2.5342011533492437E-3</v>
      </c>
      <c r="V70" s="80">
        <f>'PDB_woody perennials'!G769</f>
        <v>96.432400000000001</v>
      </c>
      <c r="W70" s="58">
        <f>'PDB_woody perennials'!J769</f>
        <v>160.72350468033963</v>
      </c>
      <c r="X70" s="10">
        <f t="shared" si="8"/>
        <v>9.405873705804737</v>
      </c>
      <c r="Y70" s="10">
        <f>Assumptions!$E$16</f>
        <v>0.5</v>
      </c>
      <c r="Z70" s="10">
        <f t="shared" si="19"/>
        <v>4.3700022654764102E-2</v>
      </c>
      <c r="AA70" s="10">
        <f t="shared" si="9"/>
        <v>4.3700022654764102E-2</v>
      </c>
      <c r="AB70" s="10">
        <f>'PDB_woody perennials'!K666</f>
        <v>2.399802755128314E-3</v>
      </c>
      <c r="AC70" s="80">
        <f>'PDB_woody perennials'!G666</f>
        <v>94.696616800000001</v>
      </c>
      <c r="AD70" s="58">
        <f>'PDB_woody perennials'!J666</f>
        <v>151.31763097453489</v>
      </c>
      <c r="AE70" s="10">
        <f t="shared" si="10"/>
        <v>7.8898563316257366</v>
      </c>
      <c r="AF70" s="10">
        <f>Assumptions!$E$16</f>
        <v>0.5</v>
      </c>
      <c r="AG70" s="10">
        <f t="shared" si="20"/>
        <v>3.4712514764037028E-2</v>
      </c>
      <c r="AH70" s="10">
        <f t="shared" si="11"/>
        <v>3.4712514764037028E-2</v>
      </c>
      <c r="AI70" s="10">
        <f>'PDB_woody perennials'!K563</f>
        <v>2.2864454418060082E-3</v>
      </c>
      <c r="AJ70" s="80">
        <f>'PDB_woody perennials'!G563</f>
        <v>93.181470931199996</v>
      </c>
      <c r="AK70" s="58">
        <f>'PDB_woody perennials'!J563</f>
        <v>143.42777464290916</v>
      </c>
      <c r="AL70" s="10">
        <f>AK70-'BR_woody perennials'!AH53</f>
        <v>7.2400862516322775</v>
      </c>
      <c r="AM70" s="10">
        <f>Assumptions!$E$16</f>
        <v>0.5</v>
      </c>
      <c r="AN70" s="10">
        <f t="shared" si="4"/>
        <v>3.034911404859944E-2</v>
      </c>
      <c r="AO70" s="10">
        <f t="shared" si="12"/>
        <v>3.034911404859944E-2</v>
      </c>
    </row>
    <row r="71" spans="1:41" x14ac:dyDescent="0.2">
      <c r="A71" s="585"/>
      <c r="B71" s="585"/>
      <c r="C71" s="585"/>
      <c r="D71" s="585"/>
      <c r="E71" s="588"/>
      <c r="F71" s="55" t="s">
        <v>171</v>
      </c>
      <c r="G71" s="10">
        <f>'PDB_woody perennials'!K976</f>
        <v>1.4366677500000003E-2</v>
      </c>
      <c r="H71" s="80">
        <f>'PDB_woody perennials'!G976</f>
        <v>166</v>
      </c>
      <c r="I71" s="10">
        <f>'PDB_woody perennials'!J976</f>
        <v>1102.5936221216682</v>
      </c>
      <c r="J71" s="10">
        <f t="shared" si="14"/>
        <v>-1398.8063778783319</v>
      </c>
      <c r="K71" s="10">
        <f>Assumptions!$E$16</f>
        <v>0.5</v>
      </c>
      <c r="L71" s="10">
        <f t="shared" si="16"/>
        <v>-36.843033545855413</v>
      </c>
      <c r="M71" s="10">
        <f t="shared" si="17"/>
        <v>-36.843033545855413</v>
      </c>
      <c r="N71" s="10">
        <f>'PDB_woody perennials'!K873</f>
        <v>3.2783E-2</v>
      </c>
      <c r="O71" s="80">
        <f>'PDB_woody perennials'!G873</f>
        <v>393</v>
      </c>
      <c r="P71" s="10">
        <f>'PDB_woody perennials'!J873</f>
        <v>2501.4</v>
      </c>
      <c r="Q71" s="10">
        <f t="shared" si="6"/>
        <v>146.41764106690971</v>
      </c>
      <c r="R71" s="10">
        <f>Assumptions!$E$16</f>
        <v>0.5</v>
      </c>
      <c r="S71" s="10">
        <f t="shared" si="21"/>
        <v>8.8000174663435846</v>
      </c>
      <c r="T71" s="10">
        <f t="shared" si="7"/>
        <v>8.8000174663435846</v>
      </c>
      <c r="U71" s="10">
        <f>'PDB_woody perennials'!K770</f>
        <v>3.1043964128528237E-2</v>
      </c>
      <c r="V71" s="80">
        <f>'PDB_woody perennials'!G770</f>
        <v>385.7296</v>
      </c>
      <c r="W71" s="58">
        <f>'PDB_woody perennials'!J770</f>
        <v>2354.9823589330904</v>
      </c>
      <c r="X71" s="10">
        <f t="shared" si="8"/>
        <v>137.81846464571481</v>
      </c>
      <c r="Y71" s="10">
        <f>Assumptions!$E$16</f>
        <v>0.5</v>
      </c>
      <c r="Z71" s="10">
        <f t="shared" si="19"/>
        <v>7.8437910333024154</v>
      </c>
      <c r="AA71" s="10">
        <f t="shared" si="9"/>
        <v>7.8437910333024154</v>
      </c>
      <c r="AB71" s="10">
        <f>'PDB_woody perennials'!K667</f>
        <v>2.9397583750321848E-2</v>
      </c>
      <c r="AC71" s="80">
        <f>'PDB_woody perennials'!G667</f>
        <v>378.7864672</v>
      </c>
      <c r="AD71" s="58">
        <f>'PDB_woody perennials'!J667</f>
        <v>2217.1638942873756</v>
      </c>
      <c r="AE71" s="10">
        <f t="shared" si="10"/>
        <v>115.60519733842921</v>
      </c>
      <c r="AF71" s="10">
        <f>Assumptions!$E$16</f>
        <v>0.5</v>
      </c>
      <c r="AG71" s="10">
        <f t="shared" si="20"/>
        <v>6.2306080296697539</v>
      </c>
      <c r="AH71" s="10">
        <f t="shared" si="11"/>
        <v>6.2306080296697539</v>
      </c>
      <c r="AI71" s="10">
        <f>'PDB_woody perennials'!K564</f>
        <v>2.8008956662123607E-2</v>
      </c>
      <c r="AJ71" s="80">
        <f>'PDB_woody perennials'!G564</f>
        <v>372.72588372479998</v>
      </c>
      <c r="AK71" s="58">
        <f>'PDB_woody perennials'!J564</f>
        <v>2101.5586969489464</v>
      </c>
      <c r="AL71" s="10">
        <f>AK71-'BR_woody perennials'!AH54</f>
        <v>106.08451721892902</v>
      </c>
      <c r="AM71" s="10">
        <f>Assumptions!$E$16</f>
        <v>0.5</v>
      </c>
      <c r="AN71" s="10">
        <f t="shared" si="4"/>
        <v>5.4474138497300295</v>
      </c>
      <c r="AO71" s="10">
        <f t="shared" si="12"/>
        <v>5.4474138497300295</v>
      </c>
    </row>
    <row r="72" spans="1:41" x14ac:dyDescent="0.2">
      <c r="A72" s="585"/>
      <c r="B72" s="585"/>
      <c r="C72" s="585"/>
      <c r="D72" s="585"/>
      <c r="E72" s="588"/>
      <c r="F72" s="55" t="s">
        <v>188</v>
      </c>
      <c r="G72" s="10">
        <f>'PDB_woody perennials'!K977</f>
        <v>8.3932200000000016E-3</v>
      </c>
      <c r="H72" s="80">
        <f>'PDB_woody perennials'!G977</f>
        <v>33</v>
      </c>
      <c r="I72" s="10">
        <f>'PDB_woody perennials'!J977</f>
        <v>765.41041223413617</v>
      </c>
      <c r="J72" s="10">
        <f t="shared" si="14"/>
        <v>-1418.2895877658636</v>
      </c>
      <c r="K72" s="10">
        <f>Assumptions!$E$16</f>
        <v>0.5</v>
      </c>
      <c r="L72" s="10">
        <f t="shared" ref="L72:L112" si="22">G72*J72*K72*44/12</f>
        <v>-21.824030312018376</v>
      </c>
      <c r="M72" s="10">
        <f t="shared" si="17"/>
        <v>-21.824030312018376</v>
      </c>
      <c r="N72" s="10">
        <f>'PDB_woody perennials'!K874</f>
        <v>2.4084999999999999E-2</v>
      </c>
      <c r="O72" s="80">
        <f>'PDB_woody perennials'!G874</f>
        <v>98</v>
      </c>
      <c r="P72" s="10">
        <f>'PDB_woody perennials'!J874</f>
        <v>2183.6999999999998</v>
      </c>
      <c r="Q72" s="10">
        <f t="shared" si="6"/>
        <v>127.80606727345503</v>
      </c>
      <c r="R72" s="10">
        <f>Assumptions!$E$16</f>
        <v>0.5</v>
      </c>
      <c r="S72" s="10">
        <f t="shared" si="21"/>
        <v>5.6433834055154684</v>
      </c>
      <c r="T72" s="10">
        <f t="shared" si="7"/>
        <v>5.6433834055154684</v>
      </c>
      <c r="U72" s="10">
        <f>'PDB_woody perennials'!K771</f>
        <v>2.2807810380143193E-2</v>
      </c>
      <c r="V72" s="80">
        <f>'PDB_woody perennials'!G771</f>
        <v>96.432400000000001</v>
      </c>
      <c r="W72" s="58">
        <f>'PDB_woody perennials'!J771</f>
        <v>2055.8939327265448</v>
      </c>
      <c r="X72" s="10">
        <f t="shared" si="8"/>
        <v>120.31518801320362</v>
      </c>
      <c r="Y72" s="10">
        <f>Assumptions!$E$16</f>
        <v>0.5</v>
      </c>
      <c r="Z72" s="10">
        <f t="shared" si="19"/>
        <v>5.0308976557701133</v>
      </c>
      <c r="AA72" s="10">
        <f t="shared" si="9"/>
        <v>5.0308976557701133</v>
      </c>
      <c r="AB72" s="10">
        <f>'PDB_woody perennials'!K668</f>
        <v>2.1598224796154825E-2</v>
      </c>
      <c r="AC72" s="80">
        <f>'PDB_woody perennials'!G668</f>
        <v>94.696616800000001</v>
      </c>
      <c r="AD72" s="58">
        <f>'PDB_woody perennials'!J668</f>
        <v>1935.5787447133412</v>
      </c>
      <c r="AE72" s="10">
        <f t="shared" si="10"/>
        <v>100.92305910410914</v>
      </c>
      <c r="AF72" s="10">
        <f>Assumptions!$E$16</f>
        <v>0.5</v>
      </c>
      <c r="AG72" s="10">
        <f t="shared" si="20"/>
        <v>3.9962246823513095</v>
      </c>
      <c r="AH72" s="10">
        <f t="shared" si="11"/>
        <v>3.9962246823513095</v>
      </c>
      <c r="AI72" s="10">
        <f>'PDB_woody perennials'!K565</f>
        <v>2.0578008976254069E-2</v>
      </c>
      <c r="AJ72" s="80">
        <f>'PDB_woody perennials'!G565</f>
        <v>93.181470931199996</v>
      </c>
      <c r="AK72" s="58">
        <f>'PDB_woody perennials'!J565</f>
        <v>1834.655685609232</v>
      </c>
      <c r="AL72" s="10">
        <f>AK72-'BR_woody perennials'!AH55</f>
        <v>92.61152826869602</v>
      </c>
      <c r="AM72" s="10">
        <f>Assumptions!$E$16</f>
        <v>0.5</v>
      </c>
      <c r="AN72" s="10">
        <f t="shared" si="4"/>
        <v>3.4938949100326959</v>
      </c>
      <c r="AO72" s="10">
        <f t="shared" si="12"/>
        <v>3.4938949100326959</v>
      </c>
    </row>
    <row r="73" spans="1:41" x14ac:dyDescent="0.2">
      <c r="A73" s="585"/>
      <c r="B73" s="585"/>
      <c r="C73" s="585"/>
      <c r="D73" s="585"/>
      <c r="E73" s="588"/>
      <c r="F73" s="55" t="s">
        <v>185</v>
      </c>
      <c r="G73" s="10">
        <f>'PDB_woody perennials'!K978</f>
        <v>5.2333333333333346E-3</v>
      </c>
      <c r="H73" s="80">
        <f>'PDB_woody perennials'!G978</f>
        <v>66.666666666666671</v>
      </c>
      <c r="I73" s="10">
        <f>'PDB_woody perennials'!J978</f>
        <v>395.41847338258293</v>
      </c>
      <c r="J73" s="10">
        <f t="shared" si="14"/>
        <v>395.41847338258293</v>
      </c>
      <c r="K73" s="10">
        <f>Assumptions!$E$16</f>
        <v>0.5</v>
      </c>
      <c r="L73" s="10">
        <f t="shared" si="22"/>
        <v>3.7938205751762273</v>
      </c>
      <c r="M73" s="10">
        <f t="shared" si="17"/>
        <v>3.7938205751762273</v>
      </c>
      <c r="N73" s="10"/>
      <c r="O73" s="76"/>
      <c r="P73" s="10"/>
      <c r="Q73" s="10"/>
      <c r="R73" s="10">
        <f>Assumptions!$E$16</f>
        <v>0.5</v>
      </c>
      <c r="S73" s="10"/>
      <c r="T73" s="10"/>
      <c r="U73" s="10"/>
      <c r="V73" s="76"/>
      <c r="W73" s="58"/>
      <c r="X73" s="10"/>
      <c r="Y73" s="10">
        <f>Assumptions!$E$16</f>
        <v>0.5</v>
      </c>
      <c r="Z73" s="10"/>
      <c r="AA73" s="10"/>
      <c r="AB73" s="10"/>
      <c r="AC73" s="76"/>
      <c r="AD73" s="58"/>
      <c r="AE73" s="10"/>
      <c r="AF73" s="10">
        <f>Assumptions!$E$16</f>
        <v>0.5</v>
      </c>
      <c r="AG73" s="10"/>
      <c r="AH73" s="10"/>
      <c r="AI73" s="10"/>
      <c r="AJ73" s="76"/>
      <c r="AK73" s="58"/>
      <c r="AL73" s="10"/>
      <c r="AM73" s="10">
        <f>Assumptions!$E$16</f>
        <v>0.5</v>
      </c>
      <c r="AN73" s="10"/>
      <c r="AO73" s="10"/>
    </row>
    <row r="74" spans="1:41" x14ac:dyDescent="0.2">
      <c r="A74" s="585"/>
      <c r="B74" s="585"/>
      <c r="C74" s="585"/>
      <c r="D74" s="585"/>
      <c r="E74" s="588"/>
      <c r="F74" s="55" t="s">
        <v>186</v>
      </c>
      <c r="G74" s="10">
        <f>'PDB_woody perennials'!K979</f>
        <v>1.5386000000000002E-2</v>
      </c>
      <c r="H74" s="80">
        <f>'PDB_woody perennials'!G979</f>
        <v>100</v>
      </c>
      <c r="I74" s="10">
        <f>'PDB_woody perennials'!J979</f>
        <v>1294.6884000512889</v>
      </c>
      <c r="J74" s="10">
        <f t="shared" si="14"/>
        <v>1294.6884000512889</v>
      </c>
      <c r="K74" s="10">
        <f>Assumptions!$E$16</f>
        <v>0.5</v>
      </c>
      <c r="L74" s="10">
        <f t="shared" si="22"/>
        <v>36.520138825846743</v>
      </c>
      <c r="M74" s="10">
        <f t="shared" si="17"/>
        <v>36.520138825846743</v>
      </c>
      <c r="N74" s="10"/>
      <c r="O74" s="76"/>
      <c r="P74" s="10"/>
      <c r="Q74" s="10"/>
      <c r="R74" s="10">
        <f>Assumptions!$E$16</f>
        <v>0.5</v>
      </c>
      <c r="S74" s="10"/>
      <c r="T74" s="10"/>
      <c r="U74" s="10"/>
      <c r="V74" s="76"/>
      <c r="W74" s="58"/>
      <c r="X74" s="10"/>
      <c r="Y74" s="10">
        <f>Assumptions!$E$16</f>
        <v>0.5</v>
      </c>
      <c r="Z74" s="10"/>
      <c r="AA74" s="10"/>
      <c r="AB74" s="10"/>
      <c r="AC74" s="76"/>
      <c r="AD74" s="58"/>
      <c r="AE74" s="10"/>
      <c r="AF74" s="10">
        <f>Assumptions!$E$16</f>
        <v>0.5</v>
      </c>
      <c r="AG74" s="10"/>
      <c r="AH74" s="10"/>
      <c r="AI74" s="10"/>
      <c r="AJ74" s="76"/>
      <c r="AK74" s="58"/>
      <c r="AL74" s="10"/>
      <c r="AM74" s="10">
        <f>Assumptions!$E$16</f>
        <v>0.5</v>
      </c>
      <c r="AN74" s="10"/>
      <c r="AO74" s="10"/>
    </row>
    <row r="75" spans="1:41" x14ac:dyDescent="0.2">
      <c r="A75" s="586"/>
      <c r="B75" s="586"/>
      <c r="C75" s="586"/>
      <c r="D75" s="586"/>
      <c r="E75" s="589"/>
      <c r="F75" s="55" t="s">
        <v>380</v>
      </c>
      <c r="G75" s="10">
        <f>'PDB_woody perennials'!K980</f>
        <v>7.878469333333335E-2</v>
      </c>
      <c r="H75" s="80">
        <f>'PDB_woody perennials'!G980</f>
        <v>266.66666666666669</v>
      </c>
      <c r="I75" s="10">
        <f>'PDB_woody perennials'!J980</f>
        <v>7358.9687693386477</v>
      </c>
      <c r="J75" s="10">
        <f t="shared" si="14"/>
        <v>7358.9687693386477</v>
      </c>
      <c r="K75" s="10">
        <f>Assumptions!$E$16</f>
        <v>0.5</v>
      </c>
      <c r="L75" s="10">
        <f t="shared" si="22"/>
        <v>1062.9191791935252</v>
      </c>
      <c r="M75" s="10">
        <f t="shared" si="17"/>
        <v>1062.9191791935252</v>
      </c>
      <c r="N75" s="10"/>
      <c r="O75" s="76"/>
      <c r="P75" s="10"/>
      <c r="Q75" s="10"/>
      <c r="R75" s="10">
        <f>Assumptions!$E$16</f>
        <v>0.5</v>
      </c>
      <c r="S75" s="10"/>
      <c r="T75" s="10"/>
      <c r="U75" s="10"/>
      <c r="V75" s="76"/>
      <c r="W75" s="58"/>
      <c r="X75" s="10"/>
      <c r="Y75" s="10">
        <f>Assumptions!$E$16</f>
        <v>0.5</v>
      </c>
      <c r="Z75" s="10"/>
      <c r="AA75" s="10"/>
      <c r="AB75" s="10"/>
      <c r="AC75" s="76"/>
      <c r="AD75" s="58"/>
      <c r="AE75" s="10"/>
      <c r="AF75" s="10">
        <f>Assumptions!$E$16</f>
        <v>0.5</v>
      </c>
      <c r="AG75" s="10"/>
      <c r="AH75" s="10"/>
      <c r="AI75" s="10"/>
      <c r="AJ75" s="76"/>
      <c r="AK75" s="58"/>
      <c r="AL75" s="10"/>
      <c r="AM75" s="10">
        <f>Assumptions!$E$16</f>
        <v>0.5</v>
      </c>
      <c r="AN75" s="10"/>
      <c r="AO75" s="10"/>
    </row>
    <row r="76" spans="1:41" ht="14.5" customHeight="1" x14ac:dyDescent="0.2">
      <c r="A76" s="584" t="s">
        <v>19</v>
      </c>
      <c r="B76" s="584"/>
      <c r="C76" s="584"/>
      <c r="D76" s="584" t="s">
        <v>35</v>
      </c>
      <c r="E76" s="587">
        <f>Assumptions!D71</f>
        <v>9034.3230000000021</v>
      </c>
      <c r="F76" s="10" t="s">
        <v>192</v>
      </c>
      <c r="G76" s="10"/>
      <c r="H76" s="80">
        <v>0</v>
      </c>
      <c r="I76" s="80">
        <v>0</v>
      </c>
      <c r="J76" s="10">
        <f t="shared" si="14"/>
        <v>-2807.7</v>
      </c>
      <c r="K76" s="10">
        <f>Assumptions!$E$16</f>
        <v>0.5</v>
      </c>
      <c r="L76" s="10">
        <f t="shared" si="22"/>
        <v>0</v>
      </c>
      <c r="M76" s="10">
        <f t="shared" si="17"/>
        <v>0</v>
      </c>
      <c r="N76" s="10">
        <f>'PDB_woody perennials'!K875</f>
        <v>3.9495000000000002E-2</v>
      </c>
      <c r="O76" s="80">
        <f>'PDB_woody perennials'!G875</f>
        <v>737</v>
      </c>
      <c r="P76" s="10">
        <f>'PDB_woody perennials'!J875</f>
        <v>2807.7</v>
      </c>
      <c r="Q76" s="10">
        <f t="shared" si="6"/>
        <v>164.3488930200806</v>
      </c>
      <c r="R76" s="10">
        <f>Assumptions!$E$16</f>
        <v>0.5</v>
      </c>
      <c r="S76" s="10">
        <f t="shared" si="21"/>
        <v>11.900092471351487</v>
      </c>
      <c r="T76" s="10">
        <f t="shared" si="7"/>
        <v>11.900092471351487</v>
      </c>
      <c r="U76" s="10">
        <f>'PDB_woody perennials'!K772</f>
        <v>3.740073201000528E-2</v>
      </c>
      <c r="V76" s="80">
        <f>'PDB_woody perennials'!G772</f>
        <v>723.24300000000005</v>
      </c>
      <c r="W76" s="58">
        <f>'PDB_woody perennials'!J772</f>
        <v>2643.3511069799192</v>
      </c>
      <c r="X76" s="10">
        <f t="shared" si="8"/>
        <v>154.69440342158987</v>
      </c>
      <c r="Y76" s="10">
        <f>Assumptions!$E$16</f>
        <v>0.5</v>
      </c>
      <c r="Z76" s="10">
        <f t="shared" si="19"/>
        <v>10.607087197333966</v>
      </c>
      <c r="AA76" s="10">
        <f t="shared" si="9"/>
        <v>10.607087197333966</v>
      </c>
      <c r="AB76" s="10">
        <f>'PDB_woody perennials'!K669</f>
        <v>3.5417227871909644E-2</v>
      </c>
      <c r="AC76" s="80">
        <f>'PDB_woody perennials'!G669</f>
        <v>710.22462600000006</v>
      </c>
      <c r="AD76" s="58">
        <f>'PDB_woody perennials'!J669</f>
        <v>2488.6567035583294</v>
      </c>
      <c r="AE76" s="10">
        <f t="shared" si="10"/>
        <v>129.7611106078989</v>
      </c>
      <c r="AF76" s="10">
        <f>Assumptions!$E$16</f>
        <v>0.5</v>
      </c>
      <c r="AG76" s="10">
        <f t="shared" si="20"/>
        <v>8.4255945094053821</v>
      </c>
      <c r="AH76" s="10">
        <f t="shared" si="11"/>
        <v>8.4255945094053821</v>
      </c>
      <c r="AI76" s="10">
        <f>'PDB_woody perennials'!K566</f>
        <v>3.3744256296098243E-2</v>
      </c>
      <c r="AJ76" s="80">
        <f>'PDB_woody perennials'!G566</f>
        <v>698.86103198400008</v>
      </c>
      <c r="AK76" s="58">
        <f>'PDB_woody perennials'!J566</f>
        <v>2358.8955929504305</v>
      </c>
      <c r="AL76" s="10">
        <f>AK76-'BR_woody perennials'!AH56</f>
        <v>119.0746185254352</v>
      </c>
      <c r="AM76" s="10">
        <f>Assumptions!$E$16</f>
        <v>0.5</v>
      </c>
      <c r="AN76" s="10">
        <f t="shared" si="4"/>
        <v>7.3664881507844244</v>
      </c>
      <c r="AO76" s="10">
        <f t="shared" si="12"/>
        <v>7.3664881507844244</v>
      </c>
    </row>
    <row r="77" spans="1:41" x14ac:dyDescent="0.2">
      <c r="A77" s="585"/>
      <c r="B77" s="585"/>
      <c r="C77" s="585"/>
      <c r="D77" s="585"/>
      <c r="E77" s="588"/>
      <c r="F77" s="10" t="s">
        <v>193</v>
      </c>
      <c r="G77" s="10"/>
      <c r="H77" s="80">
        <v>0</v>
      </c>
      <c r="I77" s="80">
        <v>0</v>
      </c>
      <c r="J77" s="10">
        <f t="shared" si="14"/>
        <v>-357.3</v>
      </c>
      <c r="K77" s="10">
        <f>Assumptions!$E$16</f>
        <v>0.5</v>
      </c>
      <c r="L77" s="10">
        <f t="shared" si="22"/>
        <v>0</v>
      </c>
      <c r="M77" s="10">
        <f t="shared" si="17"/>
        <v>0</v>
      </c>
      <c r="N77" s="10">
        <f>'PDB_woody perennials'!K876</f>
        <v>6.071E-3</v>
      </c>
      <c r="O77" s="80">
        <f>'PDB_woody perennials'!G876</f>
        <v>368</v>
      </c>
      <c r="P77" s="10">
        <f>'PDB_woody perennials'!J876</f>
        <v>357.3</v>
      </c>
      <c r="Q77" s="10">
        <f t="shared" si="6"/>
        <v>20.869398094763483</v>
      </c>
      <c r="R77" s="10">
        <f>Assumptions!$E$16</f>
        <v>0.5</v>
      </c>
      <c r="S77" s="10">
        <f t="shared" si="21"/>
        <v>0.23227987902773339</v>
      </c>
      <c r="T77" s="10">
        <f t="shared" si="7"/>
        <v>0.23227987902773339</v>
      </c>
      <c r="U77" s="10">
        <f>'PDB_woody perennials'!K773</f>
        <v>5.7488822460237485E-3</v>
      </c>
      <c r="V77" s="80">
        <f>'PDB_woody perennials'!G773</f>
        <v>361.62150000000003</v>
      </c>
      <c r="W77" s="58">
        <f>'PDB_woody perennials'!J773</f>
        <v>336.43060190523653</v>
      </c>
      <c r="X77" s="10">
        <f t="shared" si="8"/>
        <v>19.688618404521435</v>
      </c>
      <c r="Y77" s="10">
        <f>Assumptions!$E$16</f>
        <v>0.5</v>
      </c>
      <c r="Z77" s="10">
        <f t="shared" si="19"/>
        <v>0.2075105061232311</v>
      </c>
      <c r="AA77" s="10">
        <f t="shared" si="9"/>
        <v>0.2075105061232311</v>
      </c>
      <c r="AB77" s="10">
        <f>'PDB_woody perennials'!K670</f>
        <v>5.4439969908003424E-3</v>
      </c>
      <c r="AC77" s="80">
        <f>'PDB_woody perennials'!G670</f>
        <v>355.11231300000003</v>
      </c>
      <c r="AD77" s="58">
        <f>'PDB_woody perennials'!J670</f>
        <v>316.74198350071509</v>
      </c>
      <c r="AE77" s="10">
        <f t="shared" si="10"/>
        <v>16.51525157987237</v>
      </c>
      <c r="AF77" s="10">
        <f>Assumptions!$E$16</f>
        <v>0.5</v>
      </c>
      <c r="AG77" s="10">
        <f t="shared" si="20"/>
        <v>0.16483312982241557</v>
      </c>
      <c r="AH77" s="10">
        <f t="shared" si="11"/>
        <v>0.16483312982241557</v>
      </c>
      <c r="AI77" s="10">
        <f>'PDB_woody perennials'!K567</f>
        <v>5.1868438263191867E-3</v>
      </c>
      <c r="AJ77" s="80">
        <f>'PDB_woody perennials'!G567</f>
        <v>349.43051599200004</v>
      </c>
      <c r="AK77" s="58">
        <f>'PDB_woody perennials'!J567</f>
        <v>300.22673192084272</v>
      </c>
      <c r="AL77" s="10">
        <f>AK77-'BR_woody perennials'!AH57</f>
        <v>15.15513602274234</v>
      </c>
      <c r="AM77" s="10">
        <f>Assumptions!$E$16</f>
        <v>0.5</v>
      </c>
      <c r="AN77" s="10">
        <f t="shared" si="4"/>
        <v>0.14411342681374581</v>
      </c>
      <c r="AO77" s="10">
        <f t="shared" si="12"/>
        <v>0.14411342681374581</v>
      </c>
    </row>
    <row r="78" spans="1:41" x14ac:dyDescent="0.2">
      <c r="A78" s="585"/>
      <c r="B78" s="585"/>
      <c r="C78" s="585"/>
      <c r="D78" s="585"/>
      <c r="E78" s="588"/>
      <c r="F78" s="10" t="s">
        <v>190</v>
      </c>
      <c r="G78" s="10"/>
      <c r="H78" s="80">
        <v>0</v>
      </c>
      <c r="I78" s="80">
        <v>0</v>
      </c>
      <c r="J78" s="10">
        <f t="shared" si="14"/>
        <v>-3848.9</v>
      </c>
      <c r="K78" s="10">
        <f>Assumptions!$E$16</f>
        <v>0.5</v>
      </c>
      <c r="L78" s="10">
        <f t="shared" si="22"/>
        <v>0</v>
      </c>
      <c r="M78" s="10">
        <f t="shared" si="17"/>
        <v>0</v>
      </c>
      <c r="N78" s="10">
        <f>'PDB_woody perennials'!K877</f>
        <v>4.7111E-2</v>
      </c>
      <c r="O78" s="80">
        <f>'PDB_woody perennials'!G877</f>
        <v>368</v>
      </c>
      <c r="P78" s="10">
        <f>'PDB_woody perennials'!J877</f>
        <v>3848.9</v>
      </c>
      <c r="Q78" s="10">
        <f t="shared" si="6"/>
        <v>225.23252329301158</v>
      </c>
      <c r="R78" s="10">
        <f>Assumptions!$E$16</f>
        <v>0.5</v>
      </c>
      <c r="S78" s="10">
        <f t="shared" si="21"/>
        <v>19.453370575571295</v>
      </c>
      <c r="T78" s="10">
        <f t="shared" si="7"/>
        <v>19.453370575571295</v>
      </c>
      <c r="U78" s="10">
        <f>'PDB_woody perennials'!K774</f>
        <v>4.4612499470418975E-2</v>
      </c>
      <c r="V78" s="80">
        <f>'PDB_woody perennials'!G774</f>
        <v>361.62150000000003</v>
      </c>
      <c r="W78" s="58">
        <f>'PDB_woody perennials'!J774</f>
        <v>3623.6674767069885</v>
      </c>
      <c r="X78" s="10">
        <f t="shared" si="8"/>
        <v>212.06455586895481</v>
      </c>
      <c r="Y78" s="10">
        <f>Assumptions!$E$16</f>
        <v>0.5</v>
      </c>
      <c r="Z78" s="10">
        <f t="shared" si="19"/>
        <v>17.344671458397034</v>
      </c>
      <c r="AA78" s="10">
        <f t="shared" si="9"/>
        <v>17.344671458397034</v>
      </c>
      <c r="AB78" s="10">
        <f>'PDB_woody perennials'!K671</f>
        <v>4.2246527668404685E-2</v>
      </c>
      <c r="AC78" s="80">
        <f>'PDB_woody perennials'!G671</f>
        <v>355.11231300000003</v>
      </c>
      <c r="AD78" s="58">
        <f>'PDB_woody perennials'!J671</f>
        <v>3411.6029208380337</v>
      </c>
      <c r="AE78" s="10">
        <f t="shared" si="10"/>
        <v>177.88447210421782</v>
      </c>
      <c r="AF78" s="10">
        <f>Assumptions!$E$16</f>
        <v>0.5</v>
      </c>
      <c r="AG78" s="10">
        <f t="shared" si="20"/>
        <v>13.777502332972398</v>
      </c>
      <c r="AH78" s="10">
        <f t="shared" si="11"/>
        <v>13.777502332972398</v>
      </c>
      <c r="AI78" s="10">
        <f>'PDB_woody perennials'!K568</f>
        <v>4.025096663179327E-2</v>
      </c>
      <c r="AJ78" s="80">
        <f>'PDB_woody perennials'!G568</f>
        <v>349.43051599200004</v>
      </c>
      <c r="AK78" s="58">
        <f>'PDB_woody perennials'!J568</f>
        <v>3233.7184487338159</v>
      </c>
      <c r="AL78" s="10">
        <f>AK78-'BR_woody perennials'!AH58</f>
        <v>163.23477471931119</v>
      </c>
      <c r="AM78" s="10">
        <f>Assumptions!$E$16</f>
        <v>0.5</v>
      </c>
      <c r="AN78" s="10">
        <f t="shared" si="4"/>
        <v>12.045655362354692</v>
      </c>
      <c r="AO78" s="10">
        <f t="shared" si="12"/>
        <v>12.045655362354692</v>
      </c>
    </row>
    <row r="79" spans="1:41" x14ac:dyDescent="0.2">
      <c r="A79" s="585"/>
      <c r="B79" s="585"/>
      <c r="C79" s="585"/>
      <c r="D79" s="585"/>
      <c r="E79" s="588"/>
      <c r="F79" s="10" t="s">
        <v>186</v>
      </c>
      <c r="G79" s="10"/>
      <c r="H79" s="80">
        <v>0</v>
      </c>
      <c r="I79" s="80">
        <v>0</v>
      </c>
      <c r="J79" s="10">
        <f t="shared" si="14"/>
        <v>-817.4</v>
      </c>
      <c r="K79" s="10">
        <f>Assumptions!$E$16</f>
        <v>0.5</v>
      </c>
      <c r="L79" s="10">
        <f t="shared" si="22"/>
        <v>0</v>
      </c>
      <c r="M79" s="10">
        <f t="shared" si="17"/>
        <v>0</v>
      </c>
      <c r="N79" s="10">
        <f>'PDB_woody perennials'!K878</f>
        <v>1.2389000000000001E-2</v>
      </c>
      <c r="O79" s="80">
        <f>'PDB_woody perennials'!G878</f>
        <v>368</v>
      </c>
      <c r="P79" s="10">
        <f>'PDB_woody perennials'!J878</f>
        <v>817.4</v>
      </c>
      <c r="Q79" s="10">
        <f t="shared" si="6"/>
        <v>47.794717947353433</v>
      </c>
      <c r="R79" s="10">
        <f>Assumptions!$E$16</f>
        <v>0.5</v>
      </c>
      <c r="S79" s="10">
        <f t="shared" si="21"/>
        <v>1.085569394524563</v>
      </c>
      <c r="T79" s="10">
        <f t="shared" si="7"/>
        <v>1.085569394524563</v>
      </c>
      <c r="U79" s="10">
        <f>'PDB_woody perennials'!K775</f>
        <v>1.1732412746987237E-2</v>
      </c>
      <c r="V79" s="80">
        <f>'PDB_woody perennials'!G775</f>
        <v>361.62150000000003</v>
      </c>
      <c r="W79" s="58">
        <f>'PDB_woody perennials'!J775</f>
        <v>769.60528205264654</v>
      </c>
      <c r="X79" s="10">
        <f t="shared" si="8"/>
        <v>45.038901439489791</v>
      </c>
      <c r="Y79" s="10">
        <f>Assumptions!$E$16</f>
        <v>0.5</v>
      </c>
      <c r="Z79" s="10">
        <f t="shared" si="19"/>
        <v>0.96876079915811497</v>
      </c>
      <c r="AA79" s="10">
        <f t="shared" si="9"/>
        <v>0.96876079915811497</v>
      </c>
      <c r="AB79" s="10">
        <f>'PDB_woody perennials'!K672</f>
        <v>1.1110197940408855E-2</v>
      </c>
      <c r="AC79" s="80">
        <f>'PDB_woody perennials'!G672</f>
        <v>355.11231300000003</v>
      </c>
      <c r="AD79" s="58">
        <f>'PDB_woody perennials'!J672</f>
        <v>724.56638061315675</v>
      </c>
      <c r="AE79" s="10">
        <f t="shared" si="10"/>
        <v>37.779633536067877</v>
      </c>
      <c r="AF79" s="10">
        <f>Assumptions!$E$16</f>
        <v>0.5</v>
      </c>
      <c r="AG79" s="10">
        <f t="shared" si="20"/>
        <v>0.76952187895334145</v>
      </c>
      <c r="AH79" s="10">
        <f t="shared" si="11"/>
        <v>0.76952187895334145</v>
      </c>
      <c r="AI79" s="10">
        <f>'PDB_woody perennials'!K569</f>
        <v>1.0585395563916702E-2</v>
      </c>
      <c r="AJ79" s="80">
        <f>'PDB_woody perennials'!G569</f>
        <v>349.43051599200004</v>
      </c>
      <c r="AK79" s="58">
        <f>'PDB_woody perennials'!J569</f>
        <v>686.78674707708888</v>
      </c>
      <c r="AL79" s="10">
        <f>AK79-'BR_woody perennials'!AH59</f>
        <v>34.668287210726703</v>
      </c>
      <c r="AM79" s="10">
        <f>Assumptions!$E$16</f>
        <v>0.5</v>
      </c>
      <c r="AN79" s="10">
        <f t="shared" si="4"/>
        <v>0.67279214502319717</v>
      </c>
      <c r="AO79" s="10">
        <f t="shared" si="12"/>
        <v>0.67279214502319717</v>
      </c>
    </row>
    <row r="80" spans="1:41" x14ac:dyDescent="0.2">
      <c r="A80" s="585"/>
      <c r="B80" s="585"/>
      <c r="C80" s="585"/>
      <c r="D80" s="585"/>
      <c r="E80" s="588"/>
      <c r="F80" s="10" t="s">
        <v>194</v>
      </c>
      <c r="G80" s="10"/>
      <c r="H80" s="80">
        <v>0</v>
      </c>
      <c r="I80" s="80">
        <v>0</v>
      </c>
      <c r="J80" s="10">
        <f t="shared" si="14"/>
        <v>-18392.8</v>
      </c>
      <c r="K80" s="10">
        <f>Assumptions!$E$16</f>
        <v>0.5</v>
      </c>
      <c r="L80" s="10">
        <f t="shared" si="22"/>
        <v>0</v>
      </c>
      <c r="M80" s="10">
        <f t="shared" si="17"/>
        <v>0</v>
      </c>
      <c r="N80" s="10">
        <f>'PDB_woody perennials'!K879</f>
        <v>0.21112700000000001</v>
      </c>
      <c r="O80" s="80">
        <f>'PDB_woody perennials'!G879</f>
        <v>1105</v>
      </c>
      <c r="P80" s="10">
        <f>'PDB_woody perennials'!J879</f>
        <v>18392.8</v>
      </c>
      <c r="Q80" s="10">
        <f t="shared" si="6"/>
        <v>1076.3843996548203</v>
      </c>
      <c r="R80" s="10">
        <f>Assumptions!$E$16</f>
        <v>0.5</v>
      </c>
      <c r="S80" s="10">
        <f t="shared" si="21"/>
        <v>416.63198343419259</v>
      </c>
      <c r="T80" s="10">
        <f t="shared" si="7"/>
        <v>416.63198343419259</v>
      </c>
      <c r="U80" s="10">
        <f>'PDB_woody perennials'!K776</f>
        <v>0.19993009021928509</v>
      </c>
      <c r="V80" s="80">
        <f>'PDB_woody perennials'!G776</f>
        <v>1084.8644999999999</v>
      </c>
      <c r="W80" s="58">
        <f>'PDB_woody perennials'!J776</f>
        <v>17316.415600345179</v>
      </c>
      <c r="X80" s="10">
        <f t="shared" si="8"/>
        <v>1013.392649059113</v>
      </c>
      <c r="Y80" s="10">
        <f>Assumptions!$E$16</f>
        <v>0.5</v>
      </c>
      <c r="Z80" s="10">
        <f t="shared" si="19"/>
        <v>371.44742021557278</v>
      </c>
      <c r="AA80" s="10">
        <f t="shared" si="9"/>
        <v>371.44742021557278</v>
      </c>
      <c r="AB80" s="10">
        <f>'PDB_woody perennials'!K673</f>
        <v>0.18932703140285065</v>
      </c>
      <c r="AC80" s="80">
        <f>'PDB_woody perennials'!G673</f>
        <v>1065.3369389999998</v>
      </c>
      <c r="AD80" s="58">
        <f>'PDB_woody perennials'!J673</f>
        <v>16303.022951286066</v>
      </c>
      <c r="AE80" s="10">
        <f t="shared" si="10"/>
        <v>850.05632211156808</v>
      </c>
      <c r="AF80" s="10">
        <f>Assumptions!$E$16</f>
        <v>0.5</v>
      </c>
      <c r="AG80" s="10">
        <f t="shared" si="20"/>
        <v>295.05417331611574</v>
      </c>
      <c r="AH80" s="10">
        <f t="shared" si="11"/>
        <v>295.05417331611574</v>
      </c>
      <c r="AI80" s="10">
        <f>'PDB_woody perennials'!K570</f>
        <v>0.18038396157211056</v>
      </c>
      <c r="AJ80" s="80">
        <f>'PDB_woody perennials'!G570</f>
        <v>1048.2915479759997</v>
      </c>
      <c r="AK80" s="58">
        <f>'PDB_woody perennials'!J570</f>
        <v>15452.966629174498</v>
      </c>
      <c r="AL80" s="10">
        <f>AK80-'BR_woody perennials'!AH60</f>
        <v>780.04983007900591</v>
      </c>
      <c r="AM80" s="10">
        <f>Assumptions!$E$16</f>
        <v>0.5</v>
      </c>
      <c r="AN80" s="10">
        <f t="shared" si="4"/>
        <v>257.96554405105513</v>
      </c>
      <c r="AO80" s="10">
        <f t="shared" si="12"/>
        <v>257.96554405105513</v>
      </c>
    </row>
    <row r="81" spans="1:41" x14ac:dyDescent="0.2">
      <c r="A81" s="585"/>
      <c r="B81" s="585"/>
      <c r="C81" s="585"/>
      <c r="D81" s="585"/>
      <c r="E81" s="588"/>
      <c r="F81" s="10" t="s">
        <v>195</v>
      </c>
      <c r="G81" s="10"/>
      <c r="H81" s="80">
        <v>0</v>
      </c>
      <c r="I81" s="80">
        <v>0</v>
      </c>
      <c r="J81" s="10">
        <f t="shared" si="14"/>
        <v>-139.80000000000001</v>
      </c>
      <c r="K81" s="10">
        <f>Assumptions!$E$16</f>
        <v>0.5</v>
      </c>
      <c r="L81" s="10">
        <f t="shared" si="22"/>
        <v>0</v>
      </c>
      <c r="M81" s="10">
        <f t="shared" si="17"/>
        <v>0</v>
      </c>
      <c r="N81" s="10">
        <f>'PDB_woody perennials'!K880</f>
        <v>2.323E-3</v>
      </c>
      <c r="O81" s="80">
        <f>'PDB_woody perennials'!G880</f>
        <v>123</v>
      </c>
      <c r="P81" s="10">
        <f>'PDB_woody perennials'!J880</f>
        <v>139.80000000000001</v>
      </c>
      <c r="Q81" s="10">
        <f t="shared" si="6"/>
        <v>8.189991827085322</v>
      </c>
      <c r="R81" s="10">
        <f>Assumptions!$E$16</f>
        <v>0.5</v>
      </c>
      <c r="S81" s="10">
        <f t="shared" si="21"/>
        <v>3.4879810192918533E-2</v>
      </c>
      <c r="T81" s="10">
        <f t="shared" si="7"/>
        <v>3.4879810192918533E-2</v>
      </c>
      <c r="U81" s="10">
        <f>'PDB_woody perennials'!K777</f>
        <v>2.1998273900601072E-3</v>
      </c>
      <c r="V81" s="80">
        <f>'PDB_woody perennials'!G777</f>
        <v>120.54049999999999</v>
      </c>
      <c r="W81" s="58">
        <f>'PDB_woody perennials'!J777</f>
        <v>131.61000817291469</v>
      </c>
      <c r="X81" s="10">
        <f t="shared" si="8"/>
        <v>7.7020913509596625</v>
      </c>
      <c r="Y81" s="10">
        <f>Assumptions!$E$16</f>
        <v>0.5</v>
      </c>
      <c r="Z81" s="10">
        <f t="shared" si="19"/>
        <v>3.1062664443407884E-2</v>
      </c>
      <c r="AA81" s="10">
        <f t="shared" si="9"/>
        <v>3.1062664443407884E-2</v>
      </c>
      <c r="AB81" s="10">
        <f>'PDB_woody perennials'!K674</f>
        <v>2.0831621138266607E-3</v>
      </c>
      <c r="AC81" s="80">
        <f>'PDB_woody perennials'!G674</f>
        <v>118.37077099999999</v>
      </c>
      <c r="AD81" s="58">
        <f>'PDB_woody perennials'!J674</f>
        <v>123.90791682195503</v>
      </c>
      <c r="AE81" s="10">
        <f t="shared" si="10"/>
        <v>6.4606857494406</v>
      </c>
      <c r="AF81" s="10">
        <f>Assumptions!$E$16</f>
        <v>0.5</v>
      </c>
      <c r="AG81" s="10">
        <f t="shared" si="20"/>
        <v>2.4674202268053183E-2</v>
      </c>
      <c r="AH81" s="10">
        <f t="shared" si="11"/>
        <v>2.4674202268053183E-2</v>
      </c>
      <c r="AI81" s="10">
        <f>'PDB_woody perennials'!K571</f>
        <v>1.9847616682343821E-3</v>
      </c>
      <c r="AJ81" s="80">
        <f>'PDB_woody perennials'!G571</f>
        <v>116.47683866399998</v>
      </c>
      <c r="AK81" s="58">
        <f>'PDB_woody perennials'!J571</f>
        <v>117.44723107251443</v>
      </c>
      <c r="AL81" s="10">
        <f>AK81-'BR_woody perennials'!AH61</f>
        <v>5.9286151869635404</v>
      </c>
      <c r="AM81" s="10">
        <f>Assumptions!$E$16</f>
        <v>0.5</v>
      </c>
      <c r="AN81" s="10">
        <f t="shared" si="4"/>
        <v>2.1572628309461991E-2</v>
      </c>
      <c r="AO81" s="10">
        <f t="shared" si="12"/>
        <v>2.1572628309461991E-2</v>
      </c>
    </row>
    <row r="82" spans="1:41" x14ac:dyDescent="0.2">
      <c r="A82" s="585"/>
      <c r="B82" s="585"/>
      <c r="C82" s="585"/>
      <c r="D82" s="585"/>
      <c r="E82" s="588"/>
      <c r="F82" s="10" t="s">
        <v>196</v>
      </c>
      <c r="G82" s="10">
        <f>'PDB_woody perennials'!K981</f>
        <v>3.8268750000000011E-2</v>
      </c>
      <c r="H82" s="80">
        <f>'PDB_woody perennials'!G981</f>
        <v>216.66666666666669</v>
      </c>
      <c r="I82" s="10">
        <f>'PDB_woody perennials'!J981</f>
        <v>3292.092558336301</v>
      </c>
      <c r="J82" s="10">
        <f t="shared" si="14"/>
        <v>1503.992558336301</v>
      </c>
      <c r="K82" s="10">
        <f>Assumptions!$E$16</f>
        <v>0.5</v>
      </c>
      <c r="L82" s="10">
        <f t="shared" si="22"/>
        <v>105.51917789752595</v>
      </c>
      <c r="M82" s="10">
        <f t="shared" si="17"/>
        <v>105.51917789752595</v>
      </c>
      <c r="N82" s="10">
        <f>'PDB_woody perennials'!K881</f>
        <v>2.0906999999999999E-2</v>
      </c>
      <c r="O82" s="80">
        <f>'PDB_woody perennials'!G881</f>
        <v>123</v>
      </c>
      <c r="P82" s="10">
        <f>'PDB_woody perennials'!J881</f>
        <v>1788.1</v>
      </c>
      <c r="Q82" s="10">
        <f t="shared" si="6"/>
        <v>104.61121703119329</v>
      </c>
      <c r="R82" s="10">
        <f>Assumptions!$E$16</f>
        <v>0.5</v>
      </c>
      <c r="S82" s="10">
        <f t="shared" si="21"/>
        <v>4.0096956431971229</v>
      </c>
      <c r="T82" s="10">
        <f t="shared" si="7"/>
        <v>4.0096956431971229</v>
      </c>
      <c r="U82" s="10">
        <f>'PDB_woody perennials'!K778</f>
        <v>1.9798446510540971E-2</v>
      </c>
      <c r="V82" s="80">
        <f>'PDB_woody perennials'!G778</f>
        <v>120.54049999999999</v>
      </c>
      <c r="W82" s="58">
        <f>'PDB_woody perennials'!J778</f>
        <v>1683.4887829688066</v>
      </c>
      <c r="X82" s="10">
        <f t="shared" si="8"/>
        <v>98.521264262105888</v>
      </c>
      <c r="Y82" s="10">
        <f>Assumptions!$E$16</f>
        <v>0.5</v>
      </c>
      <c r="Z82" s="10">
        <f t="shared" si="19"/>
        <v>3.5760412978476546</v>
      </c>
      <c r="AA82" s="10">
        <f t="shared" si="9"/>
        <v>3.5760412978476546</v>
      </c>
      <c r="AB82" s="10">
        <f>'PDB_woody perennials'!K675</f>
        <v>1.8748459024439956E-2</v>
      </c>
      <c r="AC82" s="80">
        <f>'PDB_woody perennials'!G675</f>
        <v>118.37077099999999</v>
      </c>
      <c r="AD82" s="58">
        <f>'PDB_woody perennials'!J675</f>
        <v>1584.9675187067007</v>
      </c>
      <c r="AE82" s="10">
        <f t="shared" si="10"/>
        <v>82.641830514738331</v>
      </c>
      <c r="AF82" s="10">
        <f>Assumptions!$E$16</f>
        <v>0.5</v>
      </c>
      <c r="AG82" s="10">
        <f t="shared" si="20"/>
        <v>2.8405794507021853</v>
      </c>
      <c r="AH82" s="10">
        <f t="shared" si="11"/>
        <v>2.8405794507021853</v>
      </c>
      <c r="AI82" s="10">
        <f>'PDB_woody perennials'!K572</f>
        <v>1.786285501410944E-2</v>
      </c>
      <c r="AJ82" s="80">
        <f>'PDB_woody perennials'!G572</f>
        <v>116.47683866399998</v>
      </c>
      <c r="AK82" s="58">
        <f>'PDB_woody perennials'!J572</f>
        <v>1502.3256881919624</v>
      </c>
      <c r="AL82" s="10">
        <f>AK82-'BR_woody perennials'!AH62</f>
        <v>75.835852488351975</v>
      </c>
      <c r="AM82" s="10">
        <f>Assumptions!$E$16</f>
        <v>0.5</v>
      </c>
      <c r="AN82" s="10">
        <f t="shared" si="4"/>
        <v>2.4835155360965069</v>
      </c>
      <c r="AO82" s="10">
        <f t="shared" si="12"/>
        <v>2.4835155360965069</v>
      </c>
    </row>
    <row r="83" spans="1:41" x14ac:dyDescent="0.2">
      <c r="A83" s="585"/>
      <c r="B83" s="585"/>
      <c r="C83" s="585"/>
      <c r="D83" s="585"/>
      <c r="E83" s="588"/>
      <c r="F83" s="10" t="s">
        <v>197</v>
      </c>
      <c r="G83" s="10"/>
      <c r="H83" s="80">
        <v>0</v>
      </c>
      <c r="I83" s="80">
        <v>0</v>
      </c>
      <c r="J83" s="10">
        <f t="shared" si="14"/>
        <v>-698</v>
      </c>
      <c r="K83" s="10">
        <f>Assumptions!$E$16</f>
        <v>0.5</v>
      </c>
      <c r="L83" s="10">
        <f t="shared" si="22"/>
        <v>0</v>
      </c>
      <c r="M83" s="10">
        <f t="shared" si="17"/>
        <v>0</v>
      </c>
      <c r="N83" s="10">
        <f>'PDB_woody perennials'!K882</f>
        <v>9.2919999999999999E-3</v>
      </c>
      <c r="O83" s="80">
        <f>'PDB_woody perennials'!G882</f>
        <v>123</v>
      </c>
      <c r="P83" s="10">
        <f>'PDB_woody perennials'!J882</f>
        <v>698</v>
      </c>
      <c r="Q83" s="10">
        <f t="shared" si="6"/>
        <v>40.828825026240452</v>
      </c>
      <c r="R83" s="10">
        <f>Assumptions!$E$16</f>
        <v>0.5</v>
      </c>
      <c r="S83" s="10">
        <f t="shared" si="21"/>
        <v>0.69553264393034819</v>
      </c>
      <c r="T83" s="10">
        <f t="shared" si="7"/>
        <v>0.69553264393034819</v>
      </c>
      <c r="U83" s="10">
        <f>'PDB_woody perennials'!K779</f>
        <v>8.7993095602404287E-3</v>
      </c>
      <c r="V83" s="80">
        <f>'PDB_woody perennials'!G779</f>
        <v>120.54049999999999</v>
      </c>
      <c r="W83" s="58">
        <f>'PDB_woody perennials'!J779</f>
        <v>657.17117497375955</v>
      </c>
      <c r="X83" s="10">
        <f t="shared" si="8"/>
        <v>38.45902369533519</v>
      </c>
      <c r="Y83" s="10">
        <f>Assumptions!$E$16</f>
        <v>0.5</v>
      </c>
      <c r="Z83" s="10">
        <f t="shared" si="19"/>
        <v>0.62042356727977288</v>
      </c>
      <c r="AA83" s="10">
        <f t="shared" si="9"/>
        <v>0.62042356727977288</v>
      </c>
      <c r="AB83" s="10">
        <f>'PDB_woody perennials'!K676</f>
        <v>8.3326484553066429E-3</v>
      </c>
      <c r="AC83" s="80">
        <f>'PDB_woody perennials'!G676</f>
        <v>118.37077099999999</v>
      </c>
      <c r="AD83" s="58">
        <f>'PDB_woody perennials'!J676</f>
        <v>618.71215127842436</v>
      </c>
      <c r="AE83" s="10">
        <f t="shared" si="10"/>
        <v>32.260285551517882</v>
      </c>
      <c r="AF83" s="10">
        <f>Assumptions!$E$16</f>
        <v>0.5</v>
      </c>
      <c r="AG83" s="10">
        <f t="shared" si="20"/>
        <v>0.49282496737577897</v>
      </c>
      <c r="AH83" s="10">
        <f t="shared" si="11"/>
        <v>0.49282496737577897</v>
      </c>
      <c r="AI83" s="10">
        <f>'PDB_woody perennials'!K573</f>
        <v>7.9390466729375286E-3</v>
      </c>
      <c r="AJ83" s="80">
        <f>'PDB_woody perennials'!G573</f>
        <v>116.47683866399998</v>
      </c>
      <c r="AK83" s="58">
        <f>'PDB_woody perennials'!J573</f>
        <v>586.45186572690648</v>
      </c>
      <c r="AL83" s="10">
        <f>AK83-'BR_woody perennials'!AH63</f>
        <v>29.603485802276509</v>
      </c>
      <c r="AM83" s="10">
        <f>Assumptions!$E$16</f>
        <v>0.5</v>
      </c>
      <c r="AN83" s="10">
        <f t="shared" si="4"/>
        <v>0.43087633502084727</v>
      </c>
      <c r="AO83" s="10">
        <f t="shared" si="12"/>
        <v>0.43087633502084727</v>
      </c>
    </row>
    <row r="84" spans="1:41" x14ac:dyDescent="0.2">
      <c r="A84" s="585"/>
      <c r="B84" s="585"/>
      <c r="C84" s="585"/>
      <c r="D84" s="585"/>
      <c r="E84" s="588"/>
      <c r="F84" s="55" t="s">
        <v>182</v>
      </c>
      <c r="G84" s="10"/>
      <c r="H84" s="80">
        <v>0</v>
      </c>
      <c r="I84" s="80">
        <v>0</v>
      </c>
      <c r="J84" s="10">
        <f t="shared" si="14"/>
        <v>-20572.2</v>
      </c>
      <c r="K84" s="10">
        <f>Assumptions!$E$16</f>
        <v>0.5</v>
      </c>
      <c r="L84" s="10">
        <f t="shared" si="22"/>
        <v>0</v>
      </c>
      <c r="M84" s="10">
        <f t="shared" si="17"/>
        <v>0</v>
      </c>
      <c r="N84" s="10">
        <f>'PDB_woody perennials'!K883</f>
        <v>0.196987</v>
      </c>
      <c r="O84" s="80">
        <f>'PDB_woody perennials'!G883</f>
        <v>332</v>
      </c>
      <c r="P84" s="10">
        <f>'PDB_woody perennials'!J883</f>
        <v>20572.2</v>
      </c>
      <c r="Q84" s="10">
        <f t="shared" si="6"/>
        <v>1203.885610883528</v>
      </c>
      <c r="R84" s="10">
        <f>Assumptions!$E$16</f>
        <v>0.5</v>
      </c>
      <c r="S84" s="10">
        <f t="shared" si="21"/>
        <v>434.77466052370818</v>
      </c>
      <c r="T84" s="10">
        <f t="shared" si="7"/>
        <v>434.77466052370818</v>
      </c>
      <c r="U84" s="10">
        <f>'PDB_woody perennials'!K780</f>
        <v>0.18653973111897854</v>
      </c>
      <c r="V84" s="80">
        <f>'PDB_woody perennials'!G780</f>
        <v>325.94151199999999</v>
      </c>
      <c r="W84" s="58">
        <f>'PDB_woody perennials'!J780</f>
        <v>19368.314389116473</v>
      </c>
      <c r="X84" s="10">
        <f t="shared" si="8"/>
        <v>1133.4740329404667</v>
      </c>
      <c r="Y84" s="10">
        <f>Assumptions!$E$16</f>
        <v>0.5</v>
      </c>
      <c r="Z84" s="10">
        <f t="shared" si="19"/>
        <v>387.63622578094123</v>
      </c>
      <c r="AA84" s="10">
        <f t="shared" si="9"/>
        <v>387.63622578094123</v>
      </c>
      <c r="AB84" s="10">
        <f>'PDB_woody perennials'!K677</f>
        <v>0.17664681435748944</v>
      </c>
      <c r="AC84" s="80">
        <f>'PDB_woody perennials'!G677</f>
        <v>320.07456478399996</v>
      </c>
      <c r="AD84" s="58">
        <f>'PDB_woody perennials'!J677</f>
        <v>18234.840356176006</v>
      </c>
      <c r="AE84" s="10">
        <f t="shared" si="10"/>
        <v>950.78326110307171</v>
      </c>
      <c r="AF84" s="10">
        <f>Assumptions!$E$16</f>
        <v>0.5</v>
      </c>
      <c r="AG84" s="10">
        <f t="shared" si="20"/>
        <v>307.91352940018504</v>
      </c>
      <c r="AH84" s="10">
        <f t="shared" si="11"/>
        <v>307.91352940018504</v>
      </c>
      <c r="AI84" s="10">
        <f>'PDB_woody perennials'!K574</f>
        <v>0.16830270847640488</v>
      </c>
      <c r="AJ84" s="80">
        <f>'PDB_woody perennials'!G574</f>
        <v>314.95337174745595</v>
      </c>
      <c r="AK84" s="58">
        <f>'PDB_woody perennials'!J574</f>
        <v>17284.057095072934</v>
      </c>
      <c r="AL84" s="10">
        <f>AK84-'BR_woody perennials'!AH64</f>
        <v>872.48138973093955</v>
      </c>
      <c r="AM84" s="10">
        <f>Assumptions!$E$16</f>
        <v>0.5</v>
      </c>
      <c r="AN84" s="10">
        <f t="shared" si="4"/>
        <v>269.20846514278736</v>
      </c>
      <c r="AO84" s="10">
        <f t="shared" si="12"/>
        <v>269.20846514278736</v>
      </c>
    </row>
    <row r="85" spans="1:41" x14ac:dyDescent="0.2">
      <c r="A85" s="585"/>
      <c r="B85" s="585"/>
      <c r="C85" s="585"/>
      <c r="D85" s="585"/>
      <c r="E85" s="588"/>
      <c r="F85" s="55" t="s">
        <v>187</v>
      </c>
      <c r="G85" s="10"/>
      <c r="H85" s="80">
        <v>0</v>
      </c>
      <c r="I85" s="80">
        <v>0</v>
      </c>
      <c r="J85" s="10">
        <f t="shared" si="14"/>
        <v>-44584</v>
      </c>
      <c r="K85" s="10">
        <f>Assumptions!$E$16</f>
        <v>0.5</v>
      </c>
      <c r="L85" s="10">
        <f t="shared" si="22"/>
        <v>0</v>
      </c>
      <c r="M85" s="10">
        <f t="shared" si="17"/>
        <v>0</v>
      </c>
      <c r="N85" s="10">
        <f>'PDB_woody perennials'!K884</f>
        <v>0.33451599999999998</v>
      </c>
      <c r="O85" s="80">
        <f>'PDB_woody perennials'!G884</f>
        <v>123</v>
      </c>
      <c r="P85" s="10">
        <f>'PDB_woody perennials'!J884</f>
        <v>44584</v>
      </c>
      <c r="Q85" s="10">
        <f t="shared" si="6"/>
        <v>2609.1254417582022</v>
      </c>
      <c r="R85" s="10">
        <f>Assumptions!$E$16</f>
        <v>0.5</v>
      </c>
      <c r="S85" s="10">
        <f t="shared" si="21"/>
        <v>1600.1227115045092</v>
      </c>
      <c r="T85" s="10">
        <f t="shared" si="7"/>
        <v>1600.1227115045092</v>
      </c>
      <c r="U85" s="10">
        <f>'PDB_woody perennials'!K781</f>
        <v>0.31677514416865554</v>
      </c>
      <c r="V85" s="80">
        <f>'PDB_woody perennials'!G781</f>
        <v>120.54049999999999</v>
      </c>
      <c r="W85" s="58">
        <f>'PDB_woody perennials'!J781</f>
        <v>41974.874558241798</v>
      </c>
      <c r="X85" s="10">
        <f t="shared" si="8"/>
        <v>2456.456942604942</v>
      </c>
      <c r="Y85" s="10">
        <f>Assumptions!$E$16</f>
        <v>0.5</v>
      </c>
      <c r="Z85" s="10">
        <f t="shared" si="19"/>
        <v>1426.5982539192548</v>
      </c>
      <c r="AA85" s="10">
        <f t="shared" si="9"/>
        <v>1426.5982539192548</v>
      </c>
      <c r="AB85" s="10">
        <f>'PDB_woody perennials'!K678</f>
        <v>0.29997534439103929</v>
      </c>
      <c r="AC85" s="80">
        <f>'PDB_woody perennials'!G678</f>
        <v>118.37077099999999</v>
      </c>
      <c r="AD85" s="58">
        <f>'PDB_woody perennials'!J678</f>
        <v>39518.417615636856</v>
      </c>
      <c r="AE85" s="10">
        <f t="shared" si="10"/>
        <v>2060.5307883324349</v>
      </c>
      <c r="AF85" s="10">
        <f>Assumptions!$E$16</f>
        <v>0.5</v>
      </c>
      <c r="AG85" s="10">
        <f t="shared" si="20"/>
        <v>1133.1987935736636</v>
      </c>
      <c r="AH85" s="10">
        <f t="shared" si="11"/>
        <v>1133.1987935736636</v>
      </c>
      <c r="AI85" s="10">
        <f>'PDB_woody perennials'!K575</f>
        <v>0.28580568022575104</v>
      </c>
      <c r="AJ85" s="80">
        <f>'PDB_woody perennials'!G575</f>
        <v>116.47683866399998</v>
      </c>
      <c r="AK85" s="58">
        <f>'PDB_woody perennials'!J575</f>
        <v>37457.886827304421</v>
      </c>
      <c r="AL85" s="10">
        <f>AK85-'BR_woody perennials'!AH65</f>
        <v>1890.8355240730962</v>
      </c>
      <c r="AM85" s="10">
        <f>Assumptions!$E$16</f>
        <v>0.5</v>
      </c>
      <c r="AN85" s="10">
        <f t="shared" si="4"/>
        <v>990.75447744666383</v>
      </c>
      <c r="AO85" s="10">
        <f t="shared" si="12"/>
        <v>990.75447744666383</v>
      </c>
    </row>
    <row r="86" spans="1:41" x14ac:dyDescent="0.2">
      <c r="A86" s="585"/>
      <c r="B86" s="585"/>
      <c r="C86" s="585"/>
      <c r="D86" s="585"/>
      <c r="E86" s="588"/>
      <c r="F86" s="10" t="s">
        <v>198</v>
      </c>
      <c r="G86" s="10"/>
      <c r="H86" s="80">
        <v>0</v>
      </c>
      <c r="I86" s="80">
        <v>0</v>
      </c>
      <c r="J86" s="10">
        <f t="shared" si="14"/>
        <v>-1394.2</v>
      </c>
      <c r="K86" s="10">
        <f>Assumptions!$E$16</f>
        <v>0.5</v>
      </c>
      <c r="L86" s="10">
        <f t="shared" si="22"/>
        <v>0</v>
      </c>
      <c r="M86" s="10">
        <f t="shared" si="17"/>
        <v>0</v>
      </c>
      <c r="N86" s="10">
        <f>'PDB_woody perennials'!K885</f>
        <v>1.4867E-2</v>
      </c>
      <c r="O86" s="80">
        <f>'PDB_woody perennials'!G885</f>
        <v>49</v>
      </c>
      <c r="P86" s="10">
        <f>'PDB_woody perennials'!J885</f>
        <v>1394.2</v>
      </c>
      <c r="Q86" s="10">
        <f t="shared" si="6"/>
        <v>81.613034276303324</v>
      </c>
      <c r="R86" s="10">
        <f>Assumptions!$E$16</f>
        <v>0.5</v>
      </c>
      <c r="S86" s="10">
        <f t="shared" si="21"/>
        <v>2.2244584644073027</v>
      </c>
      <c r="T86" s="10">
        <f t="shared" si="7"/>
        <v>2.2244584644073027</v>
      </c>
      <c r="U86" s="10">
        <f>'PDB_woody perennials'!K782</f>
        <v>1.4078895296384687E-2</v>
      </c>
      <c r="V86" s="80">
        <f>'PDB_woody perennials'!G782</f>
        <v>48.216200000000001</v>
      </c>
      <c r="W86" s="58">
        <f>'PDB_woody perennials'!J782</f>
        <v>1312.5869657236967</v>
      </c>
      <c r="X86" s="10">
        <f t="shared" si="8"/>
        <v>76.815318655708325</v>
      </c>
      <c r="Y86" s="10">
        <f>Assumptions!$E$16</f>
        <v>0.5</v>
      </c>
      <c r="Z86" s="10">
        <f t="shared" si="19"/>
        <v>1.9827038522722615</v>
      </c>
      <c r="AA86" s="10">
        <f t="shared" si="9"/>
        <v>1.9827038522722615</v>
      </c>
      <c r="AB86" s="10">
        <f>'PDB_woody perennials'!K679</f>
        <v>1.3332237528490632E-2</v>
      </c>
      <c r="AC86" s="80">
        <f>'PDB_woody perennials'!G679</f>
        <v>47.348308400000001</v>
      </c>
      <c r="AD86" s="58">
        <f>'PDB_woody perennials'!J679</f>
        <v>1235.7716470679884</v>
      </c>
      <c r="AE86" s="10">
        <f t="shared" si="10"/>
        <v>64.434399952398735</v>
      </c>
      <c r="AF86" s="10">
        <f>Assumptions!$E$16</f>
        <v>0.5</v>
      </c>
      <c r="AG86" s="10">
        <f t="shared" si="20"/>
        <v>1.5749336628137665</v>
      </c>
      <c r="AH86" s="10">
        <f t="shared" si="11"/>
        <v>1.5749336628137665</v>
      </c>
      <c r="AI86" s="10">
        <f>'PDB_woody perennials'!K576</f>
        <v>1.2702474676700047E-2</v>
      </c>
      <c r="AJ86" s="80">
        <f>'PDB_woody perennials'!G576</f>
        <v>46.590735465599998</v>
      </c>
      <c r="AK86" s="58">
        <f>'PDB_woody perennials'!J576</f>
        <v>1171.3372471155897</v>
      </c>
      <c r="AL86" s="10">
        <f>AK86-'BR_woody perennials'!AH66</f>
        <v>59.127897089531189</v>
      </c>
      <c r="AM86" s="10">
        <f>Assumptions!$E$16</f>
        <v>0.5</v>
      </c>
      <c r="AN86" s="10">
        <f t="shared" si="4"/>
        <v>1.3769627950215433</v>
      </c>
      <c r="AO86" s="10">
        <f t="shared" si="12"/>
        <v>1.3769627950215433</v>
      </c>
    </row>
    <row r="87" spans="1:41" x14ac:dyDescent="0.2">
      <c r="A87" s="585"/>
      <c r="B87" s="585"/>
      <c r="C87" s="585"/>
      <c r="D87" s="585"/>
      <c r="E87" s="588"/>
      <c r="F87" s="10" t="s">
        <v>173</v>
      </c>
      <c r="G87" s="10"/>
      <c r="H87" s="80">
        <v>0</v>
      </c>
      <c r="I87" s="80">
        <v>0</v>
      </c>
      <c r="J87" s="10">
        <f t="shared" si="14"/>
        <v>-85.4</v>
      </c>
      <c r="K87" s="10">
        <f>Assumptions!$E$16</f>
        <v>0.5</v>
      </c>
      <c r="L87" s="10">
        <f t="shared" si="22"/>
        <v>0</v>
      </c>
      <c r="M87" s="10">
        <f t="shared" si="17"/>
        <v>0</v>
      </c>
      <c r="N87" s="10">
        <f>'PDB_woody perennials'!K886</f>
        <v>1.338E-3</v>
      </c>
      <c r="O87" s="80">
        <f>'PDB_woody perennials'!G886</f>
        <v>49</v>
      </c>
      <c r="P87" s="10">
        <f>'PDB_woody perennials'!J886</f>
        <v>85.4</v>
      </c>
      <c r="Q87" s="10">
        <f t="shared" si="6"/>
        <v>5.0382476598301906</v>
      </c>
      <c r="R87" s="10">
        <f>Assumptions!$E$16</f>
        <v>0.5</v>
      </c>
      <c r="S87" s="10">
        <f t="shared" si="21"/>
        <v>1.2358821509563458E-2</v>
      </c>
      <c r="T87" s="10">
        <f t="shared" si="7"/>
        <v>1.2358821509563458E-2</v>
      </c>
      <c r="U87" s="10">
        <f>'PDB_woody perennials'!K783</f>
        <v>1.2671005766746219E-3</v>
      </c>
      <c r="V87" s="80">
        <f>'PDB_woody perennials'!G783</f>
        <v>48.216200000000001</v>
      </c>
      <c r="W87" s="58">
        <f>'PDB_woody perennials'!J783</f>
        <v>80.361752340169815</v>
      </c>
      <c r="X87" s="10">
        <f t="shared" si="8"/>
        <v>4.7029368529023685</v>
      </c>
      <c r="Y87" s="10">
        <f>Assumptions!$E$16</f>
        <v>0.5</v>
      </c>
      <c r="Z87" s="10">
        <f t="shared" si="19"/>
        <v>1.0925005663691026E-2</v>
      </c>
      <c r="AA87" s="10">
        <f t="shared" si="9"/>
        <v>1.0925005663691026E-2</v>
      </c>
      <c r="AB87" s="10">
        <f>'PDB_woody perennials'!K680</f>
        <v>1.199901377564157E-3</v>
      </c>
      <c r="AC87" s="80">
        <f>'PDB_woody perennials'!G680</f>
        <v>47.348308400000001</v>
      </c>
      <c r="AD87" s="58">
        <f>'PDB_woody perennials'!J680</f>
        <v>75.658815487267447</v>
      </c>
      <c r="AE87" s="10">
        <f t="shared" si="10"/>
        <v>3.9449281658128683</v>
      </c>
      <c r="AF87" s="10">
        <f>Assumptions!$E$16</f>
        <v>0.5</v>
      </c>
      <c r="AG87" s="10">
        <f t="shared" si="20"/>
        <v>8.678128691009257E-3</v>
      </c>
      <c r="AH87" s="10">
        <f t="shared" si="11"/>
        <v>8.678128691009257E-3</v>
      </c>
      <c r="AI87" s="10">
        <f>'PDB_woody perennials'!K577</f>
        <v>1.1432227209030041E-3</v>
      </c>
      <c r="AJ87" s="80">
        <f>'PDB_woody perennials'!G577</f>
        <v>46.590735465599998</v>
      </c>
      <c r="AK87" s="58">
        <f>'PDB_woody perennials'!J577</f>
        <v>71.713887321454578</v>
      </c>
      <c r="AL87" s="10">
        <f>AK87-'BR_woody perennials'!AH67</f>
        <v>3.6200431258161387</v>
      </c>
      <c r="AM87" s="10">
        <f>Assumptions!$E$16</f>
        <v>0.5</v>
      </c>
      <c r="AN87" s="10">
        <f t="shared" si="4"/>
        <v>7.5872785121498601E-3</v>
      </c>
      <c r="AO87" s="10">
        <f t="shared" si="12"/>
        <v>7.5872785121498601E-3</v>
      </c>
    </row>
    <row r="88" spans="1:41" x14ac:dyDescent="0.2">
      <c r="A88" s="585"/>
      <c r="B88" s="585"/>
      <c r="C88" s="585"/>
      <c r="D88" s="585"/>
      <c r="E88" s="588"/>
      <c r="F88" s="10" t="s">
        <v>199</v>
      </c>
      <c r="G88" s="10"/>
      <c r="H88" s="80">
        <v>0</v>
      </c>
      <c r="I88" s="80">
        <v>0</v>
      </c>
      <c r="J88" s="10">
        <f t="shared" si="14"/>
        <v>-2644.6</v>
      </c>
      <c r="K88" s="10">
        <f>Assumptions!$E$16</f>
        <v>0.5</v>
      </c>
      <c r="L88" s="10">
        <f t="shared" si="22"/>
        <v>0</v>
      </c>
      <c r="M88" s="10">
        <f t="shared" si="17"/>
        <v>0</v>
      </c>
      <c r="N88" s="10">
        <f>'PDB_woody perennials'!K887</f>
        <v>3.1259000000000002E-2</v>
      </c>
      <c r="O88" s="80">
        <f>'PDB_woody perennials'!G887</f>
        <v>196</v>
      </c>
      <c r="P88" s="10">
        <f>'PDB_woody perennials'!J887</f>
        <v>2644.6</v>
      </c>
      <c r="Q88" s="10">
        <f t="shared" si="6"/>
        <v>154.75533242248275</v>
      </c>
      <c r="R88" s="10">
        <f>Assumptions!$E$16</f>
        <v>0.5</v>
      </c>
      <c r="S88" s="10">
        <f t="shared" si="21"/>
        <v>8.8687443830230457</v>
      </c>
      <c r="T88" s="10">
        <f t="shared" si="7"/>
        <v>8.8687443830230457</v>
      </c>
      <c r="U88" s="10">
        <f>'PDB_woody perennials'!K784</f>
        <v>2.96008773606488E-2</v>
      </c>
      <c r="V88" s="80">
        <f>'PDB_woody perennials'!G784</f>
        <v>192.8648</v>
      </c>
      <c r="W88" s="58">
        <f>'PDB_woody perennials'!J784</f>
        <v>2489.8446675775172</v>
      </c>
      <c r="X88" s="10">
        <f t="shared" si="8"/>
        <v>145.7108873831703</v>
      </c>
      <c r="Y88" s="10">
        <f>Assumptions!$E$16</f>
        <v>0.5</v>
      </c>
      <c r="Z88" s="10">
        <f t="shared" si="19"/>
        <v>7.9074785304909767</v>
      </c>
      <c r="AA88" s="10">
        <f t="shared" si="9"/>
        <v>7.9074785304909767</v>
      </c>
      <c r="AB88" s="10">
        <f>'PDB_woody perennials'!K681</f>
        <v>2.8031029403651556E-2</v>
      </c>
      <c r="AC88" s="80">
        <f>'PDB_woody perennials'!G681</f>
        <v>189.3932336</v>
      </c>
      <c r="AD88" s="58">
        <f>'PDB_woody perennials'!J681</f>
        <v>2344.1337801943469</v>
      </c>
      <c r="AE88" s="10">
        <f t="shared" si="10"/>
        <v>122.22553729351421</v>
      </c>
      <c r="AF88" s="10">
        <f>Assumptions!$E$16</f>
        <v>0.5</v>
      </c>
      <c r="AG88" s="10">
        <f t="shared" si="20"/>
        <v>6.2811973212112777</v>
      </c>
      <c r="AH88" s="10">
        <f t="shared" si="11"/>
        <v>6.2811973212112777</v>
      </c>
      <c r="AI88" s="10">
        <f>'PDB_woody perennials'!K578</f>
        <v>2.6706953007761845E-2</v>
      </c>
      <c r="AJ88" s="80">
        <f>'PDB_woody perennials'!G578</f>
        <v>186.36294186239999</v>
      </c>
      <c r="AK88" s="58">
        <f>'PDB_woody perennials'!J578</f>
        <v>2221.9082429008326</v>
      </c>
      <c r="AL88" s="10">
        <f>AK88-'BR_woody perennials'!AH68</f>
        <v>112.15963826996131</v>
      </c>
      <c r="AM88" s="10">
        <f>Assumptions!$E$16</f>
        <v>0.5</v>
      </c>
      <c r="AN88" s="10">
        <f t="shared" si="4"/>
        <v>5.4916440125129435</v>
      </c>
      <c r="AO88" s="10">
        <f t="shared" si="12"/>
        <v>5.4916440125129435</v>
      </c>
    </row>
    <row r="89" spans="1:41" x14ac:dyDescent="0.2">
      <c r="A89" s="585"/>
      <c r="B89" s="585"/>
      <c r="C89" s="585"/>
      <c r="D89" s="585"/>
      <c r="E89" s="588"/>
      <c r="F89" s="10" t="s">
        <v>172</v>
      </c>
      <c r="G89" s="10">
        <f>'PDB_woody perennials'!K982</f>
        <v>0.35766562500000004</v>
      </c>
      <c r="H89" s="80">
        <f>'PDB_woody perennials'!G982</f>
        <v>100</v>
      </c>
      <c r="I89" s="10">
        <f>'PDB_woody perennials'!J982</f>
        <v>49788.949949631686</v>
      </c>
      <c r="J89" s="10">
        <f t="shared" si="14"/>
        <v>9214.6499496316828</v>
      </c>
      <c r="K89" s="10">
        <f>Assumptions!$E$16</f>
        <v>0.5</v>
      </c>
      <c r="L89" s="10">
        <f t="shared" si="22"/>
        <v>6042.2331445505979</v>
      </c>
      <c r="M89" s="10">
        <f t="shared" si="17"/>
        <v>6042.2331445505979</v>
      </c>
      <c r="N89" s="10">
        <f>'PDB_woody perennials'!K888</f>
        <v>0.29316999999999999</v>
      </c>
      <c r="O89" s="80">
        <f>'PDB_woody perennials'!G888</f>
        <v>85</v>
      </c>
      <c r="P89" s="10">
        <f>'PDB_woody perennials'!J888</f>
        <v>40574.300000000003</v>
      </c>
      <c r="Q89" s="10">
        <f t="shared" si="6"/>
        <v>1674.336293157372</v>
      </c>
      <c r="R89" s="10">
        <f>Assumptions!$E$16</f>
        <v>0.5</v>
      </c>
      <c r="S89" s="10">
        <f t="shared" si="21"/>
        <v>899.91948028573563</v>
      </c>
      <c r="T89" s="10">
        <f t="shared" si="7"/>
        <v>899.91948028573563</v>
      </c>
      <c r="U89" s="10">
        <f>'PDB_woody perennials'!K785</f>
        <v>0.28271059151296563</v>
      </c>
      <c r="V89" s="80">
        <f>'PDB_woody perennials'!G785</f>
        <v>85</v>
      </c>
      <c r="W89" s="58">
        <f>'PDB_woody perennials'!J785</f>
        <v>38899.963706842631</v>
      </c>
      <c r="X89" s="10">
        <f t="shared" si="8"/>
        <v>727.67720998309233</v>
      </c>
      <c r="Y89" s="10">
        <f>Assumptions!$E$16</f>
        <v>0.5</v>
      </c>
      <c r="Z89" s="10">
        <f t="shared" si="19"/>
        <v>377.15709985217831</v>
      </c>
      <c r="AA89" s="10">
        <f t="shared" si="9"/>
        <v>377.15709985217831</v>
      </c>
      <c r="AB89" s="10">
        <f>'PDB_woody perennials'!K682</f>
        <v>0.27903930511956437</v>
      </c>
      <c r="AC89" s="80">
        <f>'PDB_woody perennials'!G682</f>
        <v>87</v>
      </c>
      <c r="AD89" s="58">
        <f>'PDB_woody perennials'!J682</f>
        <v>38172.286496859539</v>
      </c>
      <c r="AE89" s="10">
        <f t="shared" si="10"/>
        <v>12813.480522358615</v>
      </c>
      <c r="AF89" s="10">
        <f>Assumptions!$E$16</f>
        <v>0.5</v>
      </c>
      <c r="AG89" s="10">
        <f t="shared" si="20"/>
        <v>6555.018618723705</v>
      </c>
      <c r="AH89" s="10">
        <f t="shared" si="11"/>
        <v>6555.018618723705</v>
      </c>
      <c r="AI89" s="10">
        <f>'PDB_woody perennials'!K579</f>
        <v>0.18633205615024065</v>
      </c>
      <c r="AJ89" s="80">
        <f>'PDB_woody perennials'!G579</f>
        <v>60</v>
      </c>
      <c r="AK89" s="58">
        <f>'PDB_woody perennials'!J579</f>
        <v>25358.805974500923</v>
      </c>
      <c r="AL89" s="10">
        <f>AK89-'BR_woody perennials'!AH69</f>
        <v>-6100.8276514368081</v>
      </c>
      <c r="AM89" s="10">
        <f>Assumptions!$E$16</f>
        <v>0.5</v>
      </c>
      <c r="AN89" s="10">
        <f t="shared" si="4"/>
        <v>-2084.0962276025175</v>
      </c>
      <c r="AO89" s="10">
        <f t="shared" si="12"/>
        <v>-2084.0962276025175</v>
      </c>
    </row>
    <row r="90" spans="1:41" x14ac:dyDescent="0.2">
      <c r="A90" s="586"/>
      <c r="B90" s="586"/>
      <c r="C90" s="586"/>
      <c r="D90" s="586"/>
      <c r="E90" s="589"/>
      <c r="F90" s="104" t="s">
        <v>188</v>
      </c>
      <c r="G90" s="10">
        <f>'PDB_woody perennials'!K983</f>
        <v>4.7230833333333343E-3</v>
      </c>
      <c r="H90" s="80">
        <f>'PDB_woody perennials'!G983</f>
        <v>16.666666666666668</v>
      </c>
      <c r="I90" s="10">
        <f>'PDB_woody perennials'!J983</f>
        <v>438.23324224907611</v>
      </c>
      <c r="J90" s="10">
        <f t="shared" si="14"/>
        <v>438.23324224907611</v>
      </c>
      <c r="K90" s="10">
        <f>Assumptions!$E$16</f>
        <v>0.5</v>
      </c>
      <c r="L90" s="10">
        <f t="shared" si="22"/>
        <v>3.7946555580619421</v>
      </c>
      <c r="M90" s="10">
        <f t="shared" si="17"/>
        <v>3.7946555580619421</v>
      </c>
      <c r="N90" s="10"/>
      <c r="O90" s="76"/>
      <c r="P90" s="10"/>
      <c r="Q90" s="10"/>
      <c r="R90" s="10">
        <f>Assumptions!$E$16</f>
        <v>0.5</v>
      </c>
      <c r="S90" s="10"/>
      <c r="T90" s="10"/>
      <c r="U90" s="10"/>
      <c r="V90" s="76"/>
      <c r="W90" s="58"/>
      <c r="X90" s="10"/>
      <c r="Y90" s="10">
        <f>Assumptions!$E$16</f>
        <v>0.5</v>
      </c>
      <c r="Z90" s="10"/>
      <c r="AA90" s="10"/>
      <c r="AB90" s="10"/>
      <c r="AC90" s="76"/>
      <c r="AD90" s="58"/>
      <c r="AE90" s="10"/>
      <c r="AF90" s="10">
        <f>Assumptions!$E$16</f>
        <v>0.5</v>
      </c>
      <c r="AG90" s="10"/>
      <c r="AH90" s="10"/>
      <c r="AI90" s="10"/>
      <c r="AJ90" s="76"/>
      <c r="AK90" s="58"/>
      <c r="AL90" s="10"/>
      <c r="AM90" s="10">
        <f>Assumptions!$E$16</f>
        <v>0.5</v>
      </c>
      <c r="AN90" s="10"/>
      <c r="AO90" s="10"/>
    </row>
    <row r="91" spans="1:41" x14ac:dyDescent="0.2">
      <c r="A91" s="75" t="s">
        <v>20</v>
      </c>
      <c r="B91" s="75"/>
      <c r="C91" s="75"/>
      <c r="D91" s="75" t="s">
        <v>37</v>
      </c>
      <c r="E91" s="486">
        <f>Assumptions!D72</f>
        <v>2315.3180000000002</v>
      </c>
      <c r="F91" s="56" t="s">
        <v>323</v>
      </c>
      <c r="G91" s="10">
        <f>'PDB_woody perennials'!K984</f>
        <v>0</v>
      </c>
      <c r="H91" s="80">
        <f>'PDB_woody perennials'!G984</f>
        <v>0</v>
      </c>
      <c r="I91" s="10">
        <f>'PDB_woody perennials'!J984</f>
        <v>0</v>
      </c>
      <c r="J91" s="10">
        <f t="shared" si="14"/>
        <v>0</v>
      </c>
      <c r="K91" s="10">
        <f>Assumptions!$E$16</f>
        <v>0.5</v>
      </c>
      <c r="L91" s="10">
        <f t="shared" si="22"/>
        <v>0</v>
      </c>
      <c r="M91" s="10">
        <f t="shared" si="17"/>
        <v>0</v>
      </c>
      <c r="N91" s="10">
        <f>'PDB_woody perennials'!K889</f>
        <v>0</v>
      </c>
      <c r="O91" s="80">
        <f>'PDB_woody perennials'!G889</f>
        <v>0</v>
      </c>
      <c r="P91" s="10">
        <f>'PDB_woody perennials'!J889</f>
        <v>0</v>
      </c>
      <c r="Q91" s="10">
        <f t="shared" si="6"/>
        <v>0</v>
      </c>
      <c r="R91" s="10">
        <f>Assumptions!$E$16</f>
        <v>0.5</v>
      </c>
      <c r="S91" s="10">
        <f t="shared" si="21"/>
        <v>0</v>
      </c>
      <c r="T91" s="10">
        <f t="shared" si="7"/>
        <v>0</v>
      </c>
      <c r="U91" s="10">
        <f>'PDB_woody perennials'!K786</f>
        <v>0</v>
      </c>
      <c r="V91" s="80">
        <f>'PDB_woody perennials'!G786</f>
        <v>0</v>
      </c>
      <c r="W91" s="58">
        <f>'PDB_woody perennials'!J786</f>
        <v>0</v>
      </c>
      <c r="X91" s="10">
        <f t="shared" si="8"/>
        <v>0</v>
      </c>
      <c r="Y91" s="10">
        <f>Assumptions!$E$16</f>
        <v>0.5</v>
      </c>
      <c r="Z91" s="10">
        <f t="shared" si="19"/>
        <v>0</v>
      </c>
      <c r="AA91" s="10">
        <f t="shared" si="9"/>
        <v>0</v>
      </c>
      <c r="AB91" s="10">
        <f>'PDB_woody perennials'!K683</f>
        <v>0</v>
      </c>
      <c r="AC91" s="80">
        <f>'PDB_woody perennials'!G683</f>
        <v>0</v>
      </c>
      <c r="AD91" s="58">
        <f>'PDB_woody perennials'!J683</f>
        <v>0</v>
      </c>
      <c r="AE91" s="10">
        <f t="shared" si="10"/>
        <v>0</v>
      </c>
      <c r="AF91" s="10">
        <f>Assumptions!$E$16</f>
        <v>0.5</v>
      </c>
      <c r="AG91" s="10">
        <f t="shared" si="20"/>
        <v>0</v>
      </c>
      <c r="AH91" s="10">
        <f t="shared" si="11"/>
        <v>0</v>
      </c>
      <c r="AI91" s="10">
        <f>'PDB_woody perennials'!K580</f>
        <v>0</v>
      </c>
      <c r="AJ91" s="80">
        <f>'PDB_woody perennials'!G580</f>
        <v>0</v>
      </c>
      <c r="AK91" s="58">
        <f>'PDB_woody perennials'!J580</f>
        <v>0</v>
      </c>
      <c r="AL91" s="10">
        <f>AK91-'BR_woody perennials'!AH70</f>
        <v>0</v>
      </c>
      <c r="AM91" s="10">
        <f>Assumptions!$E$16</f>
        <v>0.5</v>
      </c>
      <c r="AN91" s="10">
        <f t="shared" si="4"/>
        <v>0</v>
      </c>
      <c r="AO91" s="10">
        <f t="shared" si="12"/>
        <v>0</v>
      </c>
    </row>
    <row r="92" spans="1:41" ht="14.5" customHeight="1" x14ac:dyDescent="0.2">
      <c r="A92" s="584" t="s">
        <v>21</v>
      </c>
      <c r="B92" s="584"/>
      <c r="C92" s="584"/>
      <c r="D92" s="584" t="s">
        <v>35</v>
      </c>
      <c r="E92" s="587">
        <f>Assumptions!D73</f>
        <v>5717.201</v>
      </c>
      <c r="F92" s="55" t="s">
        <v>188</v>
      </c>
      <c r="G92" s="10">
        <v>0</v>
      </c>
      <c r="H92" s="80">
        <v>0</v>
      </c>
      <c r="I92" s="10">
        <v>0</v>
      </c>
      <c r="J92" s="10">
        <f t="shared" si="14"/>
        <v>-1237.8</v>
      </c>
      <c r="K92" s="10">
        <f>Assumptions!$E$16</f>
        <v>0.5</v>
      </c>
      <c r="L92" s="10">
        <f t="shared" si="22"/>
        <v>0</v>
      </c>
      <c r="M92" s="10">
        <f t="shared" si="17"/>
        <v>0</v>
      </c>
      <c r="N92" s="10">
        <f>'PDB_woody perennials'!K890</f>
        <v>1.3417999999999999E-2</v>
      </c>
      <c r="O92" s="80">
        <f>'PDB_woody perennials'!G890</f>
        <v>49</v>
      </c>
      <c r="P92" s="10">
        <f>'PDB_woody perennials'!J890</f>
        <v>1237.8</v>
      </c>
      <c r="Q92" s="10">
        <f t="shared" si="6"/>
        <v>72.475568866544563</v>
      </c>
      <c r="R92" s="10">
        <f>Assumptions!$E$16</f>
        <v>0.5</v>
      </c>
      <c r="S92" s="10">
        <f t="shared" si="21"/>
        <v>1.7828748355940407</v>
      </c>
      <c r="T92" s="10">
        <f t="shared" si="7"/>
        <v>1.7828748355940407</v>
      </c>
      <c r="U92" s="10">
        <f>'PDB_woody perennials'!K787</f>
        <v>1.2706203004987185E-2</v>
      </c>
      <c r="V92" s="80">
        <f>'PDB_woody perennials'!G787</f>
        <v>48.216200000000001</v>
      </c>
      <c r="W92" s="58">
        <f>'PDB_woody perennials'!J787</f>
        <v>1165.3244311334554</v>
      </c>
      <c r="X92" s="10">
        <f t="shared" si="8"/>
        <v>68.19720891060706</v>
      </c>
      <c r="Y92" s="10">
        <f>Assumptions!$E$16</f>
        <v>0.5</v>
      </c>
      <c r="Z92" s="10">
        <f t="shared" si="19"/>
        <v>1.5886338981181061</v>
      </c>
      <c r="AA92" s="10">
        <f t="shared" si="9"/>
        <v>1.5886338981181061</v>
      </c>
      <c r="AB92" s="10">
        <f>'PDB_woody perennials'!K684</f>
        <v>1.2032344369462798E-2</v>
      </c>
      <c r="AC92" s="80">
        <f>'PDB_woody perennials'!G684</f>
        <v>47.348308400000001</v>
      </c>
      <c r="AD92" s="58">
        <f>'PDB_woody perennials'!J684</f>
        <v>1097.1272222228483</v>
      </c>
      <c r="AE92" s="10">
        <f t="shared" si="10"/>
        <v>57.205337574379428</v>
      </c>
      <c r="AF92" s="10">
        <f>Assumptions!$E$16</f>
        <v>0.5</v>
      </c>
      <c r="AG92" s="10">
        <f t="shared" si="20"/>
        <v>1.2619095893548886</v>
      </c>
      <c r="AH92" s="10">
        <f t="shared" si="11"/>
        <v>1.2619095893548886</v>
      </c>
      <c r="AI92" s="10">
        <f>'PDB_woody perennials'!K581</f>
        <v>1.1463983395721791E-2</v>
      </c>
      <c r="AJ92" s="80">
        <f>'PDB_woody perennials'!G581</f>
        <v>46.590735465599998</v>
      </c>
      <c r="AK92" s="58">
        <f>'PDB_woody perennials'!J581</f>
        <v>1039.9218846484689</v>
      </c>
      <c r="AL92" s="10">
        <f>AK92-'BR_woody perennials'!AH71</f>
        <v>52.494185024902663</v>
      </c>
      <c r="AM92" s="10">
        <f>Assumptions!$E$16</f>
        <v>0.5</v>
      </c>
      <c r="AN92" s="10">
        <f t="shared" si="4"/>
        <v>1.1032861867452912</v>
      </c>
      <c r="AO92" s="10">
        <f t="shared" si="12"/>
        <v>1.1032861867452912</v>
      </c>
    </row>
    <row r="93" spans="1:41" x14ac:dyDescent="0.2">
      <c r="A93" s="585"/>
      <c r="B93" s="585"/>
      <c r="C93" s="585"/>
      <c r="D93" s="585"/>
      <c r="E93" s="588"/>
      <c r="F93" s="55" t="s">
        <v>182</v>
      </c>
      <c r="G93" s="10">
        <v>0</v>
      </c>
      <c r="H93" s="80">
        <v>0</v>
      </c>
      <c r="I93" s="10">
        <v>0</v>
      </c>
      <c r="J93" s="10">
        <f t="shared" si="14"/>
        <v>-1394.2</v>
      </c>
      <c r="K93" s="10">
        <f>Assumptions!$E$16</f>
        <v>0.5</v>
      </c>
      <c r="L93" s="10">
        <f t="shared" si="22"/>
        <v>0</v>
      </c>
      <c r="M93" s="10">
        <f t="shared" si="17"/>
        <v>0</v>
      </c>
      <c r="N93" s="10">
        <f>'PDB_woody perennials'!K891</f>
        <v>1.4867E-2</v>
      </c>
      <c r="O93" s="80">
        <f>'PDB_woody perennials'!G891</f>
        <v>49</v>
      </c>
      <c r="P93" s="10">
        <f>'PDB_woody perennials'!J891</f>
        <v>1394.2</v>
      </c>
      <c r="Q93" s="10">
        <f t="shared" si="6"/>
        <v>81.613034276303324</v>
      </c>
      <c r="R93" s="10">
        <f>Assumptions!$E$16</f>
        <v>0.5</v>
      </c>
      <c r="S93" s="10">
        <f t="shared" si="21"/>
        <v>2.2244584644073027</v>
      </c>
      <c r="T93" s="10">
        <f t="shared" si="7"/>
        <v>2.2244584644073027</v>
      </c>
      <c r="U93" s="10">
        <f>'PDB_woody perennials'!K788</f>
        <v>1.4078895296384687E-2</v>
      </c>
      <c r="V93" s="80">
        <f>'PDB_woody perennials'!G788</f>
        <v>48.216200000000001</v>
      </c>
      <c r="W93" s="58">
        <f>'PDB_woody perennials'!J788</f>
        <v>1312.5869657236967</v>
      </c>
      <c r="X93" s="10">
        <f t="shared" si="8"/>
        <v>76.815318655708325</v>
      </c>
      <c r="Y93" s="10">
        <f>Assumptions!$E$16</f>
        <v>0.5</v>
      </c>
      <c r="Z93" s="10">
        <f t="shared" si="19"/>
        <v>1.9827038522722615</v>
      </c>
      <c r="AA93" s="10">
        <f t="shared" si="9"/>
        <v>1.9827038522722615</v>
      </c>
      <c r="AB93" s="10">
        <f>'PDB_woody perennials'!K685</f>
        <v>1.3332237528490632E-2</v>
      </c>
      <c r="AC93" s="80">
        <f>'PDB_woody perennials'!G685</f>
        <v>47.348308400000001</v>
      </c>
      <c r="AD93" s="58">
        <f>'PDB_woody perennials'!J685</f>
        <v>1235.7716470679884</v>
      </c>
      <c r="AE93" s="10">
        <f t="shared" si="10"/>
        <v>64.434399952398735</v>
      </c>
      <c r="AF93" s="10">
        <f>Assumptions!$E$16</f>
        <v>0.5</v>
      </c>
      <c r="AG93" s="10">
        <f t="shared" si="20"/>
        <v>1.5749336628137665</v>
      </c>
      <c r="AH93" s="10">
        <f t="shared" si="11"/>
        <v>1.5749336628137665</v>
      </c>
      <c r="AI93" s="10">
        <f>'PDB_woody perennials'!K582</f>
        <v>1.2702474676700047E-2</v>
      </c>
      <c r="AJ93" s="80">
        <f>'PDB_woody perennials'!G582</f>
        <v>46.590735465599998</v>
      </c>
      <c r="AK93" s="58">
        <f>'PDB_woody perennials'!J582</f>
        <v>1171.3372471155897</v>
      </c>
      <c r="AL93" s="10">
        <f>AK93-'BR_woody perennials'!AH72</f>
        <v>59.127897089531189</v>
      </c>
      <c r="AM93" s="10">
        <f>Assumptions!$E$16</f>
        <v>0.5</v>
      </c>
      <c r="AN93" s="10">
        <f t="shared" si="4"/>
        <v>1.3769627950215433</v>
      </c>
      <c r="AO93" s="10">
        <f t="shared" si="12"/>
        <v>1.3769627950215433</v>
      </c>
    </row>
    <row r="94" spans="1:41" x14ac:dyDescent="0.2">
      <c r="A94" s="585"/>
      <c r="B94" s="585"/>
      <c r="C94" s="585"/>
      <c r="D94" s="585"/>
      <c r="E94" s="588"/>
      <c r="F94" s="55" t="s">
        <v>171</v>
      </c>
      <c r="G94" s="10">
        <v>0</v>
      </c>
      <c r="H94" s="80">
        <v>0</v>
      </c>
      <c r="I94" s="10">
        <v>0</v>
      </c>
      <c r="J94" s="10">
        <f t="shared" si="14"/>
        <v>-11851.8</v>
      </c>
      <c r="K94" s="10">
        <f>Assumptions!$E$16</f>
        <v>0.5</v>
      </c>
      <c r="L94" s="10">
        <f t="shared" si="22"/>
        <v>0</v>
      </c>
      <c r="M94" s="10">
        <f t="shared" si="17"/>
        <v>0</v>
      </c>
      <c r="N94" s="10">
        <f>'PDB_woody perennials'!K892</f>
        <v>0.109473</v>
      </c>
      <c r="O94" s="80">
        <f>'PDB_woody perennials'!G892</f>
        <v>147</v>
      </c>
      <c r="P94" s="10">
        <f>'PDB_woody perennials'!J892</f>
        <v>11851.8</v>
      </c>
      <c r="Q94" s="10">
        <f t="shared" si="6"/>
        <v>693.57636194281622</v>
      </c>
      <c r="R94" s="10">
        <f>Assumptions!$E$16</f>
        <v>0.5</v>
      </c>
      <c r="S94" s="10">
        <f t="shared" si="21"/>
        <v>139.20112263010418</v>
      </c>
      <c r="T94" s="10">
        <f t="shared" si="7"/>
        <v>139.20112263010418</v>
      </c>
      <c r="U94" s="10">
        <f>'PDB_woody perennials'!K789</f>
        <v>0.10366759903237928</v>
      </c>
      <c r="V94" s="80">
        <f>'PDB_woody perennials'!G789</f>
        <v>144.64860000000002</v>
      </c>
      <c r="W94" s="58">
        <f>'PDB_woody perennials'!J789</f>
        <v>11158.223638057183</v>
      </c>
      <c r="X94" s="10">
        <f t="shared" si="8"/>
        <v>653.00244994924287</v>
      </c>
      <c r="Y94" s="10">
        <f>Assumptions!$E$16</f>
        <v>0.5</v>
      </c>
      <c r="Z94" s="10">
        <f t="shared" si="19"/>
        <v>124.10785960558229</v>
      </c>
      <c r="AA94" s="10">
        <f t="shared" si="9"/>
        <v>124.10785960558229</v>
      </c>
      <c r="AB94" s="10">
        <f>'PDB_woody perennials'!K686</f>
        <v>9.8169709001452693E-2</v>
      </c>
      <c r="AC94" s="80">
        <f>'PDB_woody perennials'!G686</f>
        <v>142.04492520000002</v>
      </c>
      <c r="AD94" s="58">
        <f>'PDB_woody perennials'!J686</f>
        <v>10505.22118810794</v>
      </c>
      <c r="AE94" s="10">
        <f t="shared" si="10"/>
        <v>547.75299727016863</v>
      </c>
      <c r="AF94" s="10">
        <f>Assumptions!$E$16</f>
        <v>0.5</v>
      </c>
      <c r="AG94" s="10">
        <f t="shared" si="20"/>
        <v>98.583379302257597</v>
      </c>
      <c r="AH94" s="10">
        <f t="shared" si="11"/>
        <v>98.583379302257597</v>
      </c>
      <c r="AI94" s="10">
        <f>'PDB_woody perennials'!K583</f>
        <v>9.3532555202768042E-2</v>
      </c>
      <c r="AJ94" s="80">
        <f>'PDB_woody perennials'!G583</f>
        <v>139.77220639680002</v>
      </c>
      <c r="AK94" s="58">
        <f>'PDB_woody perennials'!J583</f>
        <v>9957.4681908377715</v>
      </c>
      <c r="AL94" s="10">
        <f>AK94-'BR_woody perennials'!AH73</f>
        <v>502.64273240686452</v>
      </c>
      <c r="AM94" s="10">
        <f>Assumptions!$E$16</f>
        <v>0.5</v>
      </c>
      <c r="AN94" s="10">
        <f t="shared" ref="AN94:AN139" si="23">AI94*AL94*AM94*44/12</f>
        <v>86.1913417128779</v>
      </c>
      <c r="AO94" s="10">
        <f t="shared" si="12"/>
        <v>86.1913417128779</v>
      </c>
    </row>
    <row r="95" spans="1:41" x14ac:dyDescent="0.2">
      <c r="A95" s="585"/>
      <c r="B95" s="585"/>
      <c r="C95" s="585"/>
      <c r="D95" s="585"/>
      <c r="E95" s="588"/>
      <c r="F95" s="55" t="s">
        <v>172</v>
      </c>
      <c r="G95" s="10">
        <f>'PDB_woody perennials'!K985</f>
        <v>5.9553970486111114E-2</v>
      </c>
      <c r="H95" s="80">
        <f>'PDB_woody perennials'!G985</f>
        <v>92.857142857142861</v>
      </c>
      <c r="I95" s="10">
        <f>'PDB_woody perennials'!J985</f>
        <v>6297.1697191979656</v>
      </c>
      <c r="J95" s="10">
        <f t="shared" si="14"/>
        <v>-32011.030280802031</v>
      </c>
      <c r="K95" s="10">
        <f>Assumptions!$E$16</f>
        <v>0.5</v>
      </c>
      <c r="L95" s="10">
        <f t="shared" si="22"/>
        <v>-3495.0372463836379</v>
      </c>
      <c r="M95" s="10">
        <f t="shared" si="17"/>
        <v>-3495.0372463836379</v>
      </c>
      <c r="N95" s="10">
        <f>'PDB_woody perennials'!K893</f>
        <v>0.364402</v>
      </c>
      <c r="O95" s="80">
        <f>'PDB_woody perennials'!G893</f>
        <v>589</v>
      </c>
      <c r="P95" s="10">
        <f>'PDB_woody perennials'!J893</f>
        <v>38308.199999999997</v>
      </c>
      <c r="Q95" s="10">
        <f t="shared" si="6"/>
        <v>2241.8983188363782</v>
      </c>
      <c r="R95" s="10">
        <f>Assumptions!$E$16</f>
        <v>0.5</v>
      </c>
      <c r="S95" s="10">
        <f t="shared" ref="S95:S127" si="24">N95*Q95*R95*44/12</f>
        <v>1497.7457571644588</v>
      </c>
      <c r="T95" s="10">
        <f t="shared" si="7"/>
        <v>1497.7457571644588</v>
      </c>
      <c r="U95" s="10">
        <f>'PDB_woody perennials'!K790</f>
        <v>0.34507665681757543</v>
      </c>
      <c r="V95" s="80">
        <f>'PDB_woody perennials'!G790</f>
        <v>578.59440000000006</v>
      </c>
      <c r="W95" s="58">
        <f>'PDB_woody perennials'!J790</f>
        <v>36066.301681163619</v>
      </c>
      <c r="X95" s="10">
        <f t="shared" ref="X95:X138" si="25">W95-AD95</f>
        <v>2110.674971424909</v>
      </c>
      <c r="Y95" s="10">
        <f>Assumptions!$E$16</f>
        <v>0.5</v>
      </c>
      <c r="Z95" s="10">
        <f t="shared" ref="Z95:Z139" si="26">U95*X95*Y95*44/12</f>
        <v>1335.2985484077051</v>
      </c>
      <c r="AA95" s="10">
        <f t="shared" si="9"/>
        <v>1335.2985484077051</v>
      </c>
      <c r="AB95" s="10">
        <f>'PDB_woody perennials'!K687</f>
        <v>0.32677591937279055</v>
      </c>
      <c r="AC95" s="80">
        <f>'PDB_woody perennials'!G687</f>
        <v>568.17970080000009</v>
      </c>
      <c r="AD95" s="58">
        <f>'PDB_woody perennials'!J687</f>
        <v>33955.62670973871</v>
      </c>
      <c r="AE95" s="10">
        <f t="shared" ref="AE95:AE139" si="27">AD95-AK95</f>
        <v>1770.4811704012827</v>
      </c>
      <c r="AF95" s="10">
        <f>Assumptions!$E$16</f>
        <v>0.5</v>
      </c>
      <c r="AG95" s="10">
        <f t="shared" ref="AG95:AG127" si="28">AB95*AE95*AF95*44/12</f>
        <v>1060.6761223485046</v>
      </c>
      <c r="AH95" s="10">
        <f t="shared" si="11"/>
        <v>1060.6761223485046</v>
      </c>
      <c r="AI95" s="10">
        <f>'PDB_woody perennials'!K584</f>
        <v>0.31134030067480911</v>
      </c>
      <c r="AJ95" s="80">
        <f>'PDB_woody perennials'!G584</f>
        <v>559.08882558720006</v>
      </c>
      <c r="AK95" s="58">
        <f>'PDB_woody perennials'!J584</f>
        <v>32185.145539337427</v>
      </c>
      <c r="AL95" s="10">
        <f>AK95-'BR_woody perennials'!AH74</f>
        <v>1624.6729777847395</v>
      </c>
      <c r="AM95" s="10">
        <f>Assumptions!$E$16</f>
        <v>0.5</v>
      </c>
      <c r="AN95" s="10">
        <f t="shared" si="23"/>
        <v>927.34798456985345</v>
      </c>
      <c r="AO95" s="10">
        <f t="shared" ref="AO95:AO139" si="29">AN95</f>
        <v>927.34798456985345</v>
      </c>
    </row>
    <row r="96" spans="1:41" x14ac:dyDescent="0.2">
      <c r="A96" s="585"/>
      <c r="B96" s="585"/>
      <c r="C96" s="585"/>
      <c r="D96" s="585"/>
      <c r="E96" s="588"/>
      <c r="F96" s="55" t="s">
        <v>381</v>
      </c>
      <c r="G96" s="10">
        <f>'PDB_woody perennials'!K986</f>
        <v>2.3690178571428576E-4</v>
      </c>
      <c r="H96" s="80">
        <f>'PDB_woody perennials'!G986</f>
        <v>7.1428571428571432</v>
      </c>
      <c r="I96" s="10">
        <f>'PDB_woody perennials'!J986</f>
        <v>15.594776891553877</v>
      </c>
      <c r="J96" s="10">
        <f t="shared" si="14"/>
        <v>15.594776891553877</v>
      </c>
      <c r="K96" s="10">
        <f>Assumptions!$E$16</f>
        <v>0.5</v>
      </c>
      <c r="L96" s="10">
        <f t="shared" si="22"/>
        <v>6.7731225712791519E-3</v>
      </c>
      <c r="M96" s="10">
        <f t="shared" si="17"/>
        <v>6.7731225712791519E-3</v>
      </c>
      <c r="N96" s="10"/>
      <c r="O96" s="76"/>
      <c r="P96" s="10"/>
      <c r="Q96" s="10"/>
      <c r="R96" s="10">
        <f>Assumptions!$E$16</f>
        <v>0.5</v>
      </c>
      <c r="S96" s="10"/>
      <c r="T96" s="10"/>
      <c r="U96" s="10"/>
      <c r="V96" s="76"/>
      <c r="W96" s="58"/>
      <c r="X96" s="10"/>
      <c r="Y96" s="10">
        <f>Assumptions!$E$16</f>
        <v>0.5</v>
      </c>
      <c r="Z96" s="10"/>
      <c r="AA96" s="10"/>
      <c r="AB96" s="10"/>
      <c r="AC96" s="76"/>
      <c r="AD96" s="58"/>
      <c r="AE96" s="10"/>
      <c r="AF96" s="10">
        <f>Assumptions!$E$16</f>
        <v>0.5</v>
      </c>
      <c r="AG96" s="10"/>
      <c r="AH96" s="10"/>
      <c r="AI96" s="10"/>
      <c r="AJ96" s="76"/>
      <c r="AK96" s="58"/>
      <c r="AL96" s="10"/>
      <c r="AM96" s="10">
        <f>Assumptions!$E$16</f>
        <v>0.5</v>
      </c>
      <c r="AN96" s="10"/>
      <c r="AO96" s="10"/>
    </row>
    <row r="97" spans="1:41" x14ac:dyDescent="0.2">
      <c r="A97" s="586"/>
      <c r="B97" s="586"/>
      <c r="C97" s="586"/>
      <c r="D97" s="586"/>
      <c r="E97" s="589"/>
      <c r="F97" s="55" t="s">
        <v>186</v>
      </c>
      <c r="G97" s="10">
        <f>'PDB_woody perennials'!K987</f>
        <v>7.3274142857142875E-4</v>
      </c>
      <c r="H97" s="80">
        <f>'PDB_woody perennials'!G987</f>
        <v>21.428571428571431</v>
      </c>
      <c r="I97" s="10">
        <f>'PDB_woody perennials'!J987</f>
        <v>48.471154457804182</v>
      </c>
      <c r="J97" s="10">
        <f t="shared" ref="J97" si="30">I97-P97</f>
        <v>48.471154457804182</v>
      </c>
      <c r="K97" s="10">
        <f>Assumptions!$E$16</f>
        <v>0.5</v>
      </c>
      <c r="L97" s="10">
        <f t="shared" si="22"/>
        <v>6.511417543018265E-2</v>
      </c>
      <c r="M97" s="10">
        <f t="shared" si="17"/>
        <v>6.511417543018265E-2</v>
      </c>
      <c r="N97" s="10"/>
      <c r="O97" s="76"/>
      <c r="P97" s="10"/>
      <c r="Q97" s="10"/>
      <c r="R97" s="10">
        <f>Assumptions!$E$16</f>
        <v>0.5</v>
      </c>
      <c r="S97" s="10"/>
      <c r="T97" s="10"/>
      <c r="U97" s="10"/>
      <c r="V97" s="76"/>
      <c r="W97" s="58"/>
      <c r="X97" s="10"/>
      <c r="Y97" s="10">
        <f>Assumptions!$E$16</f>
        <v>0.5</v>
      </c>
      <c r="Z97" s="10"/>
      <c r="AA97" s="10"/>
      <c r="AB97" s="10"/>
      <c r="AC97" s="76"/>
      <c r="AD97" s="58"/>
      <c r="AE97" s="10"/>
      <c r="AF97" s="10">
        <f>Assumptions!$E$16</f>
        <v>0.5</v>
      </c>
      <c r="AG97" s="10"/>
      <c r="AH97" s="10"/>
      <c r="AI97" s="10"/>
      <c r="AJ97" s="76"/>
      <c r="AK97" s="58"/>
      <c r="AL97" s="10"/>
      <c r="AM97" s="10">
        <f>Assumptions!$E$16</f>
        <v>0.5</v>
      </c>
      <c r="AN97" s="10"/>
      <c r="AO97" s="10"/>
    </row>
    <row r="98" spans="1:41" ht="14.5" customHeight="1" x14ac:dyDescent="0.2">
      <c r="A98" s="584" t="s">
        <v>22</v>
      </c>
      <c r="B98" s="584"/>
      <c r="C98" s="584"/>
      <c r="D98" s="584" t="s">
        <v>35</v>
      </c>
      <c r="E98" s="587">
        <f>Assumptions!D74</f>
        <v>3768.0449999999996</v>
      </c>
      <c r="F98" s="55" t="s">
        <v>201</v>
      </c>
      <c r="G98" s="10">
        <v>0</v>
      </c>
      <c r="H98" s="80"/>
      <c r="I98" s="10"/>
      <c r="J98" s="10">
        <f t="shared" ref="J98:J146" si="31">I98-P98</f>
        <v>-558.4</v>
      </c>
      <c r="K98" s="10">
        <f>Assumptions!$E$16</f>
        <v>0.5</v>
      </c>
      <c r="L98" s="10">
        <f t="shared" si="22"/>
        <v>0</v>
      </c>
      <c r="M98" s="10">
        <f t="shared" si="17"/>
        <v>0</v>
      </c>
      <c r="N98" s="10">
        <f>'PDB_woody perennials'!K894</f>
        <v>7.4339999999999996E-3</v>
      </c>
      <c r="O98" s="80">
        <f>'PDB_woody perennials'!G894</f>
        <v>98</v>
      </c>
      <c r="P98" s="10">
        <f>'PDB_woody perennials'!J894</f>
        <v>558.4</v>
      </c>
      <c r="Q98" s="10">
        <f t="shared" ref="Q98:Q139" si="32">P98-W98</f>
        <v>32.663060020992248</v>
      </c>
      <c r="R98" s="10">
        <f>Assumptions!$E$16</f>
        <v>0.5</v>
      </c>
      <c r="S98" s="10">
        <f t="shared" si="24"/>
        <v>0.44516484502610326</v>
      </c>
      <c r="T98" s="10">
        <f t="shared" ref="T98:T139" si="33">S98</f>
        <v>0.44516484502610326</v>
      </c>
      <c r="U98" s="10">
        <f>'PDB_woody perennials'!K791</f>
        <v>7.0394476481923434E-3</v>
      </c>
      <c r="V98" s="80">
        <f>'PDB_woody perennials'!G791</f>
        <v>96.432400000000001</v>
      </c>
      <c r="W98" s="58">
        <f>'PDB_woody perennials'!J791</f>
        <v>525.73693997900773</v>
      </c>
      <c r="X98" s="10">
        <f t="shared" si="25"/>
        <v>30.767218956268209</v>
      </c>
      <c r="Y98" s="10">
        <f>Assumptions!$E$16</f>
        <v>0.5</v>
      </c>
      <c r="Z98" s="10">
        <f t="shared" si="26"/>
        <v>0.39707108305905542</v>
      </c>
      <c r="AA98" s="10">
        <f t="shared" ref="AA98:AA139" si="34">Z98</f>
        <v>0.39707108305905542</v>
      </c>
      <c r="AB98" s="10">
        <f>'PDB_woody perennials'!K688</f>
        <v>6.6661187642453159E-3</v>
      </c>
      <c r="AC98" s="80">
        <f>'PDB_woody perennials'!G688</f>
        <v>94.696616800000001</v>
      </c>
      <c r="AD98" s="58">
        <f>'PDB_woody perennials'!J688</f>
        <v>494.96972102273952</v>
      </c>
      <c r="AE98" s="10">
        <f t="shared" si="27"/>
        <v>25.808228441214339</v>
      </c>
      <c r="AF98" s="10">
        <f>Assumptions!$E$16</f>
        <v>0.5</v>
      </c>
      <c r="AG98" s="10">
        <f t="shared" si="28"/>
        <v>0.315407979120499</v>
      </c>
      <c r="AH98" s="10">
        <f t="shared" ref="AH98:AH139" si="35">AG98</f>
        <v>0.315407979120499</v>
      </c>
      <c r="AI98" s="10">
        <f>'PDB_woody perennials'!K585</f>
        <v>6.3512373383500234E-3</v>
      </c>
      <c r="AJ98" s="80">
        <f>'PDB_woody perennials'!G585</f>
        <v>93.181470931199996</v>
      </c>
      <c r="AK98" s="58">
        <f>'PDB_woody perennials'!J585</f>
        <v>469.16149258152518</v>
      </c>
      <c r="AL98" s="10">
        <f>AK98-'BR_woody perennials'!AH75</f>
        <v>23.682788641821162</v>
      </c>
      <c r="AM98" s="10">
        <f>Assumptions!$E$16</f>
        <v>0.5</v>
      </c>
      <c r="AN98" s="10">
        <f t="shared" si="23"/>
        <v>0.27576085441334169</v>
      </c>
      <c r="AO98" s="10">
        <f t="shared" si="29"/>
        <v>0.27576085441334169</v>
      </c>
    </row>
    <row r="99" spans="1:41" x14ac:dyDescent="0.2">
      <c r="A99" s="597"/>
      <c r="B99" s="597"/>
      <c r="C99" s="597"/>
      <c r="D99" s="597"/>
      <c r="E99" s="598"/>
      <c r="F99" s="55" t="s">
        <v>200</v>
      </c>
      <c r="G99" s="10">
        <v>0</v>
      </c>
      <c r="H99" s="80"/>
      <c r="I99" s="10"/>
      <c r="J99" s="10">
        <f t="shared" si="31"/>
        <v>-3987.1</v>
      </c>
      <c r="K99" s="10">
        <f>Assumptions!$E$16</f>
        <v>0.5</v>
      </c>
      <c r="L99" s="10">
        <f t="shared" si="22"/>
        <v>0</v>
      </c>
      <c r="M99" s="10">
        <f t="shared" si="17"/>
        <v>0</v>
      </c>
      <c r="N99" s="10">
        <f>'PDB_woody perennials'!K895</f>
        <v>5.9325000000000003E-2</v>
      </c>
      <c r="O99" s="80">
        <f>'PDB_woody perennials'!G895</f>
        <v>1571</v>
      </c>
      <c r="P99" s="10">
        <f>'PDB_woody perennials'!J895</f>
        <v>3987.1</v>
      </c>
      <c r="Q99" s="10">
        <f t="shared" si="32"/>
        <v>233.29157414209294</v>
      </c>
      <c r="R99" s="10">
        <f>Assumptions!$E$16</f>
        <v>0.5</v>
      </c>
      <c r="S99" s="10">
        <f t="shared" si="24"/>
        <v>25.373374832629384</v>
      </c>
      <c r="T99" s="10">
        <f t="shared" si="33"/>
        <v>25.373374832629384</v>
      </c>
      <c r="U99" s="10">
        <f>'PDB_woody perennials'!K792</f>
        <v>5.6179191887355033E-2</v>
      </c>
      <c r="V99" s="80">
        <f>'PDB_woody perennials'!G792</f>
        <v>1542.9184</v>
      </c>
      <c r="W99" s="58">
        <f>'PDB_woody perennials'!J792</f>
        <v>3753.808425857907</v>
      </c>
      <c r="X99" s="10">
        <f t="shared" si="25"/>
        <v>219.68067483115374</v>
      </c>
      <c r="Y99" s="10">
        <f>Assumptions!$E$16</f>
        <v>0.5</v>
      </c>
      <c r="Z99" s="10">
        <f t="shared" si="26"/>
        <v>22.62605177301889</v>
      </c>
      <c r="AA99" s="10">
        <f t="shared" si="34"/>
        <v>22.62605177301889</v>
      </c>
      <c r="AB99" s="10">
        <f>'PDB_woody perennials'!K689</f>
        <v>5.3199794062905294E-2</v>
      </c>
      <c r="AC99" s="80">
        <f>'PDB_woody perennials'!G689</f>
        <v>1515.1458688</v>
      </c>
      <c r="AD99" s="58">
        <f>'PDB_woody perennials'!J689</f>
        <v>3534.1277510267532</v>
      </c>
      <c r="AE99" s="10">
        <f t="shared" si="27"/>
        <v>184.27304229938181</v>
      </c>
      <c r="AF99" s="10">
        <f>Assumptions!$E$16</f>
        <v>0.5</v>
      </c>
      <c r="AG99" s="10">
        <f t="shared" si="28"/>
        <v>17.97269448639894</v>
      </c>
      <c r="AH99" s="10">
        <f t="shared" si="35"/>
        <v>17.97269448639894</v>
      </c>
      <c r="AI99" s="10">
        <f>'PDB_woody perennials'!K586</f>
        <v>5.0686843483369666E-2</v>
      </c>
      <c r="AJ99" s="80">
        <f>'PDB_woody perennials'!G586</f>
        <v>1490.9035348991999</v>
      </c>
      <c r="AK99" s="58">
        <f>'PDB_woody perennials'!J586</f>
        <v>3349.8547087273714</v>
      </c>
      <c r="AL99" s="10">
        <f>AK99-'BR_woody perennials'!AH76</f>
        <v>169.0972134372505</v>
      </c>
      <c r="AM99" s="10">
        <f>Assumptions!$E$16</f>
        <v>0.5</v>
      </c>
      <c r="AN99" s="10">
        <f t="shared" si="23"/>
        <v>15.713507316774431</v>
      </c>
      <c r="AO99" s="10">
        <f t="shared" si="29"/>
        <v>15.713507316774431</v>
      </c>
    </row>
    <row r="100" spans="1:41" x14ac:dyDescent="0.2">
      <c r="A100" s="597"/>
      <c r="B100" s="597"/>
      <c r="C100" s="597"/>
      <c r="D100" s="597"/>
      <c r="E100" s="598"/>
      <c r="F100" s="55" t="s">
        <v>171</v>
      </c>
      <c r="G100" s="10">
        <v>0</v>
      </c>
      <c r="H100" s="80"/>
      <c r="I100" s="10"/>
      <c r="J100" s="10">
        <f t="shared" si="31"/>
        <v>-3748.4</v>
      </c>
      <c r="K100" s="10">
        <f>Assumptions!$E$16</f>
        <v>0.5</v>
      </c>
      <c r="L100" s="10">
        <f t="shared" si="22"/>
        <v>0</v>
      </c>
      <c r="M100" s="10">
        <f t="shared" si="17"/>
        <v>0</v>
      </c>
      <c r="N100" s="10">
        <f>'PDB_woody perennials'!K896</f>
        <v>4.6461000000000002E-2</v>
      </c>
      <c r="O100" s="80">
        <f>'PDB_woody perennials'!G896</f>
        <v>393</v>
      </c>
      <c r="P100" s="10">
        <f>'PDB_woody perennials'!J896</f>
        <v>3748.4</v>
      </c>
      <c r="Q100" s="10">
        <f t="shared" si="32"/>
        <v>219.33453635751357</v>
      </c>
      <c r="R100" s="10">
        <f>Assumptions!$E$16</f>
        <v>0.5</v>
      </c>
      <c r="S100" s="10">
        <f t="shared" si="24"/>
        <v>18.682586805128469</v>
      </c>
      <c r="T100" s="10">
        <f t="shared" si="33"/>
        <v>18.682586805128469</v>
      </c>
      <c r="U100" s="10">
        <f>'PDB_woody perennials'!K793</f>
        <v>4.3996547801202143E-2</v>
      </c>
      <c r="V100" s="80">
        <f>'PDB_woody perennials'!G793</f>
        <v>385.7296</v>
      </c>
      <c r="W100" s="58">
        <f>'PDB_woody perennials'!J793</f>
        <v>3529.0654636424865</v>
      </c>
      <c r="X100" s="10">
        <f t="shared" si="25"/>
        <v>206.52824934695991</v>
      </c>
      <c r="Y100" s="10">
        <f>Assumptions!$E$16</f>
        <v>0.5</v>
      </c>
      <c r="Z100" s="10">
        <f t="shared" si="26"/>
        <v>16.658638323602215</v>
      </c>
      <c r="AA100" s="10">
        <f t="shared" si="34"/>
        <v>16.658638323602215</v>
      </c>
      <c r="AB100" s="10">
        <f>'PDB_woody perennials'!K690</f>
        <v>4.1663242276533216E-2</v>
      </c>
      <c r="AC100" s="80">
        <f>'PDB_woody perennials'!G690</f>
        <v>378.7864672</v>
      </c>
      <c r="AD100" s="58">
        <f>'PDB_woody perennials'!J690</f>
        <v>3322.5372142955266</v>
      </c>
      <c r="AE100" s="10">
        <f t="shared" si="27"/>
        <v>173.24049490097104</v>
      </c>
      <c r="AF100" s="10">
        <f>Assumptions!$E$16</f>
        <v>0.5</v>
      </c>
      <c r="AG100" s="10">
        <f t="shared" si="28"/>
        <v>13.232561303803735</v>
      </c>
      <c r="AH100" s="10">
        <f t="shared" si="35"/>
        <v>13.232561303803735</v>
      </c>
      <c r="AI100" s="10">
        <f>'PDB_woody perennials'!K587</f>
        <v>3.9695233364687631E-2</v>
      </c>
      <c r="AJ100" s="80">
        <f>'PDB_woody perennials'!G587</f>
        <v>372.72588372479998</v>
      </c>
      <c r="AK100" s="58">
        <f>'PDB_woody perennials'!J587</f>
        <v>3149.2967193945556</v>
      </c>
      <c r="AL100" s="10">
        <f>AK100-'BR_woody perennials'!AH77</f>
        <v>158.97325282475458</v>
      </c>
      <c r="AM100" s="10">
        <f>Assumptions!$E$16</f>
        <v>0.5</v>
      </c>
      <c r="AN100" s="10">
        <f t="shared" si="23"/>
        <v>11.569214010973887</v>
      </c>
      <c r="AO100" s="10">
        <f t="shared" si="29"/>
        <v>11.569214010973887</v>
      </c>
    </row>
    <row r="101" spans="1:41" x14ac:dyDescent="0.2">
      <c r="A101" s="596"/>
      <c r="B101" s="596"/>
      <c r="C101" s="596"/>
      <c r="D101" s="596"/>
      <c r="E101" s="589"/>
      <c r="F101" s="55" t="s">
        <v>323</v>
      </c>
      <c r="G101" s="10">
        <v>0</v>
      </c>
      <c r="H101" s="80">
        <v>0</v>
      </c>
      <c r="I101" s="10">
        <v>0</v>
      </c>
      <c r="J101" s="10">
        <v>0</v>
      </c>
      <c r="K101" s="10">
        <f>Assumptions!$E$16</f>
        <v>0.5</v>
      </c>
      <c r="L101" s="10"/>
      <c r="M101" s="10"/>
      <c r="N101" s="10"/>
      <c r="O101" s="76"/>
      <c r="P101" s="10"/>
      <c r="Q101" s="10"/>
      <c r="R101" s="10">
        <f>Assumptions!$E$16</f>
        <v>0.5</v>
      </c>
      <c r="S101" s="10"/>
      <c r="T101" s="10"/>
      <c r="U101" s="10"/>
      <c r="V101" s="76"/>
      <c r="W101" s="58"/>
      <c r="X101" s="10"/>
      <c r="Y101" s="10">
        <f>Assumptions!$E$16</f>
        <v>0.5</v>
      </c>
      <c r="Z101" s="10"/>
      <c r="AA101" s="10"/>
      <c r="AB101" s="10"/>
      <c r="AC101" s="76"/>
      <c r="AD101" s="58"/>
      <c r="AE101" s="10"/>
      <c r="AF101" s="10">
        <f>Assumptions!$E$16</f>
        <v>0.5</v>
      </c>
      <c r="AG101" s="10"/>
      <c r="AH101" s="10"/>
      <c r="AI101" s="10"/>
      <c r="AJ101" s="76"/>
      <c r="AK101" s="58"/>
      <c r="AL101" s="10"/>
      <c r="AM101" s="10">
        <f>Assumptions!$E$16</f>
        <v>0.5</v>
      </c>
      <c r="AN101" s="10"/>
      <c r="AO101" s="10"/>
    </row>
    <row r="102" spans="1:41" ht="14.5" customHeight="1" x14ac:dyDescent="0.2">
      <c r="A102" s="584" t="s">
        <v>23</v>
      </c>
      <c r="B102" s="584"/>
      <c r="C102" s="584"/>
      <c r="D102" s="584" t="s">
        <v>34</v>
      </c>
      <c r="E102" s="587">
        <f>Assumptions!D75</f>
        <v>236.66199999999998</v>
      </c>
      <c r="F102" s="55" t="s">
        <v>292</v>
      </c>
      <c r="G102" s="10">
        <f>'PDB_woody perennials'!K989</f>
        <v>8.7920000000000012E-3</v>
      </c>
      <c r="H102" s="80">
        <f>'PDB_woody perennials'!G989</f>
        <v>175</v>
      </c>
      <c r="I102" s="10">
        <f>'PDB_woody perennials'!J989</f>
        <v>618.52183068431998</v>
      </c>
      <c r="J102" s="10">
        <f t="shared" si="31"/>
        <v>435.52183068431998</v>
      </c>
      <c r="K102" s="10">
        <f>Assumptions!$E$16</f>
        <v>0.5</v>
      </c>
      <c r="L102" s="10">
        <f t="shared" si="22"/>
        <v>7.020031214856993</v>
      </c>
      <c r="M102" s="10">
        <f t="shared" si="17"/>
        <v>7.020031214856993</v>
      </c>
      <c r="N102" s="10">
        <f>'PDB_woody perennials'!K897</f>
        <v>2.617E-3</v>
      </c>
      <c r="O102" s="80">
        <f>'PDB_woody perennials'!G897</f>
        <v>54</v>
      </c>
      <c r="P102" s="10">
        <f>'PDB_woody perennials'!J897</f>
        <v>183</v>
      </c>
      <c r="Q102" s="10">
        <f t="shared" si="32"/>
        <v>10.694177851533027</v>
      </c>
      <c r="R102" s="10">
        <f>Assumptions!$E$16</f>
        <v>0.5</v>
      </c>
      <c r="S102" s="10">
        <f t="shared" si="24"/>
        <v>5.1308882968680199E-2</v>
      </c>
      <c r="T102" s="10">
        <f t="shared" si="33"/>
        <v>5.1308882968680199E-2</v>
      </c>
      <c r="U102" s="10">
        <f>'PDB_woody perennials'!K794</f>
        <v>2.4778855721637053E-3</v>
      </c>
      <c r="V102" s="80">
        <f>'PDB_woody perennials'!G794</f>
        <v>53.037819999999996</v>
      </c>
      <c r="W102" s="58">
        <f>'PDB_woody perennials'!J794</f>
        <v>172.30582214846697</v>
      </c>
      <c r="X102" s="10">
        <f t="shared" si="25"/>
        <v>10.083695008559488</v>
      </c>
      <c r="Y102" s="10">
        <f>Assumptions!$E$16</f>
        <v>0.5</v>
      </c>
      <c r="Z102" s="10">
        <f t="shared" si="26"/>
        <v>4.5808111022315995E-2</v>
      </c>
      <c r="AA102" s="10">
        <f t="shared" si="34"/>
        <v>4.5808111022315995E-2</v>
      </c>
      <c r="AB102" s="10">
        <f>'PDB_woody perennials'!K691</f>
        <v>2.3464738050143511E-3</v>
      </c>
      <c r="AC102" s="80">
        <f>'PDB_woody perennials'!G691</f>
        <v>52.083139239999994</v>
      </c>
      <c r="AD102" s="58">
        <f>'PDB_woody perennials'!J691</f>
        <v>162.22212713990749</v>
      </c>
      <c r="AE102" s="10">
        <f t="shared" si="27"/>
        <v>8.4584279353408078</v>
      </c>
      <c r="AF102" s="10">
        <f>Assumptions!$E$16</f>
        <v>0.5</v>
      </c>
      <c r="AG102" s="10">
        <f t="shared" si="28"/>
        <v>3.638704590011118E-2</v>
      </c>
      <c r="AH102" s="10">
        <f t="shared" si="35"/>
        <v>3.638704590011118E-2</v>
      </c>
      <c r="AI102" s="10">
        <f>'PDB_woody perennials'!K588</f>
        <v>2.2356355430992081E-3</v>
      </c>
      <c r="AJ102" s="80">
        <f>'PDB_woody perennials'!G588</f>
        <v>51.249809012159993</v>
      </c>
      <c r="AK102" s="58">
        <f>'PDB_woody perennials'!J588</f>
        <v>153.76369920456668</v>
      </c>
      <c r="AL102" s="10">
        <f>AK102-'BR_woody perennials'!AH78</f>
        <v>7.7618330716121591</v>
      </c>
      <c r="AM102" s="10">
        <f>Assumptions!$E$16</f>
        <v>0.5</v>
      </c>
      <c r="AN102" s="10">
        <f t="shared" si="23"/>
        <v>3.1813154806581576E-2</v>
      </c>
      <c r="AO102" s="10">
        <f t="shared" si="29"/>
        <v>3.1813154806581576E-2</v>
      </c>
    </row>
    <row r="103" spans="1:41" x14ac:dyDescent="0.2">
      <c r="A103" s="585"/>
      <c r="B103" s="585"/>
      <c r="C103" s="585"/>
      <c r="D103" s="585"/>
      <c r="E103" s="588"/>
      <c r="F103" t="s">
        <v>382</v>
      </c>
      <c r="G103" s="10">
        <f>'PDB_woody perennials'!K990</f>
        <v>4.77594E-2</v>
      </c>
      <c r="H103" s="80">
        <f>'PDB_woody perennials'!G990</f>
        <v>62.5</v>
      </c>
      <c r="I103" s="10">
        <f>'PDB_woody perennials'!J990</f>
        <v>5193.580763761528</v>
      </c>
      <c r="J103" s="10">
        <f t="shared" si="31"/>
        <v>-5133.3192362384716</v>
      </c>
      <c r="K103" s="10">
        <f>Assumptions!$E$16</f>
        <v>0.5</v>
      </c>
      <c r="L103" s="10">
        <f t="shared" si="22"/>
        <v>-449.46778567388077</v>
      </c>
      <c r="M103" s="10">
        <f t="shared" si="17"/>
        <v>-449.46778567388077</v>
      </c>
      <c r="N103" s="10">
        <f>'PDB_woody perennials'!K898</f>
        <v>9.5518000000000006E-2</v>
      </c>
      <c r="O103" s="80">
        <f>'PDB_woody perennials'!G898</f>
        <v>130</v>
      </c>
      <c r="P103" s="10">
        <f>'PDB_woody perennials'!J898</f>
        <v>10326.9</v>
      </c>
      <c r="Q103" s="10">
        <f t="shared" si="32"/>
        <v>604.32991681154817</v>
      </c>
      <c r="R103" s="10">
        <f>Assumptions!$E$16</f>
        <v>0.5</v>
      </c>
      <c r="S103" s="10">
        <f t="shared" si="24"/>
        <v>105.82803915567668</v>
      </c>
      <c r="T103" s="10">
        <f t="shared" si="33"/>
        <v>105.82803915567668</v>
      </c>
      <c r="U103" s="10">
        <f>'PDB_woody perennials'!K795</f>
        <v>9.045273492626392E-2</v>
      </c>
      <c r="V103" s="80">
        <f>'PDB_woody perennials'!G795</f>
        <v>127.290768</v>
      </c>
      <c r="W103" s="58">
        <f>'PDB_woody perennials'!J795</f>
        <v>9722.5700831884515</v>
      </c>
      <c r="X103" s="10">
        <f t="shared" si="25"/>
        <v>568.98501858945747</v>
      </c>
      <c r="Y103" s="10">
        <f>Assumptions!$E$16</f>
        <v>0.5</v>
      </c>
      <c r="Z103" s="10">
        <f t="shared" si="26"/>
        <v>94.354793616393849</v>
      </c>
      <c r="AA103" s="10">
        <f t="shared" si="34"/>
        <v>94.354793616393849</v>
      </c>
      <c r="AB103" s="10">
        <f>'PDB_woody perennials'!K692</f>
        <v>8.5655679778243898E-2</v>
      </c>
      <c r="AC103" s="80">
        <f>'PDB_woody perennials'!G692</f>
        <v>124.999534176</v>
      </c>
      <c r="AD103" s="58">
        <f>'PDB_woody perennials'!J692</f>
        <v>9153.585064598994</v>
      </c>
      <c r="AE103" s="10">
        <f t="shared" si="27"/>
        <v>477.27730479178354</v>
      </c>
      <c r="AF103" s="10">
        <f>Assumptions!$E$16</f>
        <v>0.5</v>
      </c>
      <c r="AG103" s="10">
        <f t="shared" si="28"/>
        <v>74.94943863855859</v>
      </c>
      <c r="AH103" s="10">
        <f t="shared" si="35"/>
        <v>74.94943863855859</v>
      </c>
      <c r="AI103" s="10">
        <f>'PDB_woody perennials'!K589</f>
        <v>8.1609639865293487E-2</v>
      </c>
      <c r="AJ103" s="80">
        <f>'PDB_woody perennials'!G589</f>
        <v>122.99954162918399</v>
      </c>
      <c r="AK103" s="58">
        <f>'PDB_woody perennials'!J589</f>
        <v>8676.3077598072105</v>
      </c>
      <c r="AL103" s="10">
        <f>AK103-'BR_woody perennials'!AH79</f>
        <v>437.97107417375628</v>
      </c>
      <c r="AM103" s="10">
        <f>Assumptions!$E$16</f>
        <v>0.5</v>
      </c>
      <c r="AN103" s="10">
        <f t="shared" si="23"/>
        <v>65.528212997015984</v>
      </c>
      <c r="AO103" s="10">
        <f t="shared" si="29"/>
        <v>65.528212997015984</v>
      </c>
    </row>
    <row r="104" spans="1:41" x14ac:dyDescent="0.2">
      <c r="A104" s="585"/>
      <c r="B104" s="585"/>
      <c r="C104" s="585"/>
      <c r="D104" s="585"/>
      <c r="E104" s="588"/>
      <c r="F104" s="105" t="s">
        <v>302</v>
      </c>
      <c r="G104" s="10">
        <f>'PDB_woody perennials'!K991</f>
        <v>1.246266E-2</v>
      </c>
      <c r="H104" s="80">
        <f>'PDB_woody perennials'!G991</f>
        <v>100</v>
      </c>
      <c r="I104" s="10">
        <f>'PDB_woody perennials'!J991</f>
        <v>1013.9297798715103</v>
      </c>
      <c r="J104" s="10">
        <f t="shared" si="31"/>
        <v>1013.9297798715103</v>
      </c>
      <c r="K104" s="10">
        <f>Assumptions!$E$16</f>
        <v>0.5</v>
      </c>
      <c r="L104" s="10">
        <f t="shared" si="22"/>
        <v>23.166480535758041</v>
      </c>
      <c r="M104" s="10">
        <f t="shared" si="17"/>
        <v>23.166480535758041</v>
      </c>
      <c r="N104" s="10"/>
      <c r="O104" s="76"/>
      <c r="P104" s="10"/>
      <c r="Q104" s="10"/>
      <c r="R104" s="10">
        <f>Assumptions!$E$16</f>
        <v>0.5</v>
      </c>
      <c r="S104" s="10"/>
      <c r="T104" s="10"/>
      <c r="U104" s="10"/>
      <c r="V104" s="76"/>
      <c r="W104" s="58"/>
      <c r="X104" s="10"/>
      <c r="Y104" s="10">
        <f>Assumptions!$E$16</f>
        <v>0.5</v>
      </c>
      <c r="Z104" s="10"/>
      <c r="AA104" s="10"/>
      <c r="AB104" s="10"/>
      <c r="AC104" s="76"/>
      <c r="AD104" s="58"/>
      <c r="AE104" s="10"/>
      <c r="AF104" s="10">
        <f>Assumptions!$E$16</f>
        <v>0.5</v>
      </c>
      <c r="AG104" s="10"/>
      <c r="AH104" s="10"/>
      <c r="AI104" s="10"/>
      <c r="AJ104" s="76"/>
      <c r="AK104" s="58"/>
      <c r="AL104" s="10"/>
      <c r="AM104" s="10">
        <f>Assumptions!$E$16</f>
        <v>0.5</v>
      </c>
      <c r="AN104" s="10"/>
      <c r="AO104" s="10"/>
    </row>
    <row r="105" spans="1:41" x14ac:dyDescent="0.2">
      <c r="A105" s="585"/>
      <c r="B105" s="585"/>
      <c r="C105" s="585"/>
      <c r="D105" s="585"/>
      <c r="E105" s="588"/>
      <c r="F105" s="105" t="s">
        <v>368</v>
      </c>
      <c r="G105" s="10">
        <f>'PDB_woody perennials'!K992</f>
        <v>5.5195312500000003E-4</v>
      </c>
      <c r="H105" s="80">
        <f>'PDB_woody perennials'!G992</f>
        <v>12.5</v>
      </c>
      <c r="I105" s="10">
        <f>'PDB_woody perennials'!J992</f>
        <v>38.036483404617719</v>
      </c>
      <c r="J105" s="10">
        <f t="shared" si="31"/>
        <v>38.036483404617719</v>
      </c>
      <c r="K105" s="10">
        <f>Assumptions!$E$16</f>
        <v>0.5</v>
      </c>
      <c r="L105" s="10">
        <f t="shared" si="22"/>
        <v>3.8489652445180551E-2</v>
      </c>
      <c r="M105" s="10">
        <f t="shared" si="17"/>
        <v>3.8489652445180551E-2</v>
      </c>
      <c r="N105" s="10"/>
      <c r="O105" s="76"/>
      <c r="P105" s="10"/>
      <c r="Q105" s="10"/>
      <c r="R105" s="10">
        <f>Assumptions!$E$16</f>
        <v>0.5</v>
      </c>
      <c r="S105" s="10"/>
      <c r="T105" s="10"/>
      <c r="U105" s="10"/>
      <c r="V105" s="76"/>
      <c r="W105" s="58"/>
      <c r="X105" s="10"/>
      <c r="Y105" s="10">
        <f>Assumptions!$E$16</f>
        <v>0.5</v>
      </c>
      <c r="Z105" s="10"/>
      <c r="AA105" s="10"/>
      <c r="AB105" s="10"/>
      <c r="AC105" s="76"/>
      <c r="AD105" s="58"/>
      <c r="AE105" s="10"/>
      <c r="AF105" s="10">
        <f>Assumptions!$E$16</f>
        <v>0.5</v>
      </c>
      <c r="AG105" s="10"/>
      <c r="AH105" s="10"/>
      <c r="AI105" s="10"/>
      <c r="AJ105" s="76"/>
      <c r="AK105" s="58"/>
      <c r="AL105" s="10"/>
      <c r="AM105" s="10">
        <f>Assumptions!$E$16</f>
        <v>0.5</v>
      </c>
      <c r="AN105" s="10"/>
      <c r="AO105" s="10"/>
    </row>
    <row r="106" spans="1:41" x14ac:dyDescent="0.2">
      <c r="A106" s="585"/>
      <c r="B106" s="585"/>
      <c r="C106" s="585"/>
      <c r="D106" s="585"/>
      <c r="E106" s="588"/>
      <c r="F106" s="105" t="s">
        <v>380</v>
      </c>
      <c r="G106" s="10">
        <f>'PDB_woody perennials'!K993</f>
        <v>4.4524218750000011E-2</v>
      </c>
      <c r="H106" s="80">
        <f>'PDB_woody perennials'!G993</f>
        <v>75</v>
      </c>
      <c r="I106" s="10">
        <f>'PDB_woody perennials'!J993</f>
        <v>4650.0896647648333</v>
      </c>
      <c r="J106" s="10">
        <f t="shared" si="31"/>
        <v>4650.0896647648333</v>
      </c>
      <c r="K106" s="10">
        <f>Assumptions!$E$16</f>
        <v>0.5</v>
      </c>
      <c r="L106" s="10">
        <f t="shared" si="22"/>
        <v>379.57628397535672</v>
      </c>
      <c r="M106" s="10">
        <f t="shared" si="17"/>
        <v>379.57628397535672</v>
      </c>
      <c r="N106" s="10"/>
      <c r="O106" s="76"/>
      <c r="P106" s="10"/>
      <c r="Q106" s="10"/>
      <c r="R106" s="10">
        <f>Assumptions!$E$16</f>
        <v>0.5</v>
      </c>
      <c r="S106" s="10"/>
      <c r="T106" s="10"/>
      <c r="U106" s="10"/>
      <c r="V106" s="76"/>
      <c r="W106" s="58"/>
      <c r="X106" s="10"/>
      <c r="Y106" s="10">
        <f>Assumptions!$E$16</f>
        <v>0.5</v>
      </c>
      <c r="Z106" s="10"/>
      <c r="AA106" s="10"/>
      <c r="AB106" s="10"/>
      <c r="AC106" s="76"/>
      <c r="AD106" s="58"/>
      <c r="AE106" s="10"/>
      <c r="AF106" s="10">
        <f>Assumptions!$E$16</f>
        <v>0.5</v>
      </c>
      <c r="AG106" s="10"/>
      <c r="AH106" s="10"/>
      <c r="AI106" s="10"/>
      <c r="AJ106" s="76"/>
      <c r="AK106" s="58"/>
      <c r="AL106" s="10"/>
      <c r="AM106" s="10">
        <f>Assumptions!$E$16</f>
        <v>0.5</v>
      </c>
      <c r="AN106" s="10"/>
      <c r="AO106" s="10"/>
    </row>
    <row r="107" spans="1:41" x14ac:dyDescent="0.2">
      <c r="A107" s="586"/>
      <c r="B107" s="586"/>
      <c r="C107" s="586"/>
      <c r="D107" s="586"/>
      <c r="E107" s="589"/>
      <c r="F107" s="105" t="s">
        <v>301</v>
      </c>
      <c r="G107" s="10">
        <f>'PDB_woody perennials'!K994</f>
        <v>1.0056536875000001E-2</v>
      </c>
      <c r="H107" s="80">
        <f>'PDB_woody perennials'!G994</f>
        <v>87.5</v>
      </c>
      <c r="I107" s="10">
        <f>'PDB_woody perennials'!J994</f>
        <v>807.64094129180171</v>
      </c>
      <c r="J107" s="10">
        <f t="shared" si="31"/>
        <v>807.64094129180171</v>
      </c>
      <c r="K107" s="10">
        <f>Assumptions!$E$16</f>
        <v>0.5</v>
      </c>
      <c r="L107" s="10">
        <f t="shared" si="22"/>
        <v>14.89046333107798</v>
      </c>
      <c r="M107" s="10">
        <f t="shared" si="17"/>
        <v>14.89046333107798</v>
      </c>
      <c r="N107" s="10"/>
      <c r="O107" s="76"/>
      <c r="P107" s="10"/>
      <c r="Q107" s="10"/>
      <c r="R107" s="10">
        <f>Assumptions!$E$16</f>
        <v>0.5</v>
      </c>
      <c r="S107" s="10"/>
      <c r="T107" s="10"/>
      <c r="U107" s="10"/>
      <c r="V107" s="76"/>
      <c r="W107" s="58"/>
      <c r="X107" s="10"/>
      <c r="Y107" s="10">
        <f>Assumptions!$E$16</f>
        <v>0.5</v>
      </c>
      <c r="Z107" s="10"/>
      <c r="AA107" s="10"/>
      <c r="AB107" s="10"/>
      <c r="AC107" s="76"/>
      <c r="AD107" s="58"/>
      <c r="AE107" s="10"/>
      <c r="AF107" s="10">
        <f>Assumptions!$E$16</f>
        <v>0.5</v>
      </c>
      <c r="AG107" s="10"/>
      <c r="AH107" s="10"/>
      <c r="AI107" s="10"/>
      <c r="AJ107" s="76"/>
      <c r="AK107" s="58"/>
      <c r="AL107" s="10"/>
      <c r="AM107" s="10">
        <f>Assumptions!$E$16</f>
        <v>0.5</v>
      </c>
      <c r="AN107" s="10"/>
      <c r="AO107" s="10"/>
    </row>
    <row r="108" spans="1:41" x14ac:dyDescent="0.2">
      <c r="A108" s="584" t="s">
        <v>24</v>
      </c>
      <c r="B108" s="584"/>
      <c r="C108" s="584"/>
      <c r="D108" s="584" t="s">
        <v>35</v>
      </c>
      <c r="E108" s="587">
        <f>Assumptions!D76</f>
        <v>6640.8160000000016</v>
      </c>
      <c r="F108" s="56" t="s">
        <v>323</v>
      </c>
      <c r="G108" s="10"/>
      <c r="H108" s="80"/>
      <c r="I108" s="10"/>
      <c r="J108" s="10">
        <f t="shared" si="31"/>
        <v>0</v>
      </c>
      <c r="K108" s="10">
        <f>Assumptions!$E$16</f>
        <v>0.5</v>
      </c>
      <c r="L108" s="10">
        <f t="shared" si="22"/>
        <v>0</v>
      </c>
      <c r="M108" s="10">
        <f t="shared" si="17"/>
        <v>0</v>
      </c>
      <c r="N108" s="10">
        <f>'PDB_woody perennials'!K899</f>
        <v>0</v>
      </c>
      <c r="O108" s="80">
        <f>'PDB_woody perennials'!G899</f>
        <v>0</v>
      </c>
      <c r="P108" s="10">
        <f>'PDB_woody perennials'!J899</f>
        <v>0</v>
      </c>
      <c r="Q108" s="10">
        <f t="shared" si="32"/>
        <v>0</v>
      </c>
      <c r="R108" s="10">
        <f>Assumptions!$E$16</f>
        <v>0.5</v>
      </c>
      <c r="S108" s="10">
        <f t="shared" si="24"/>
        <v>0</v>
      </c>
      <c r="T108" s="10">
        <f t="shared" si="33"/>
        <v>0</v>
      </c>
      <c r="U108" s="10">
        <f>'PDB_woody perennials'!K796</f>
        <v>0</v>
      </c>
      <c r="V108" s="80">
        <f>'PDB_woody perennials'!G796</f>
        <v>0</v>
      </c>
      <c r="W108" s="58">
        <f>'PDB_woody perennials'!J796</f>
        <v>0</v>
      </c>
      <c r="X108" s="10">
        <f t="shared" si="25"/>
        <v>0</v>
      </c>
      <c r="Y108" s="10">
        <f>Assumptions!$E$16</f>
        <v>0.5</v>
      </c>
      <c r="Z108" s="10">
        <f t="shared" si="26"/>
        <v>0</v>
      </c>
      <c r="AA108" s="10">
        <f t="shared" si="34"/>
        <v>0</v>
      </c>
      <c r="AB108" s="10">
        <f>'PDB_woody perennials'!K693</f>
        <v>0</v>
      </c>
      <c r="AC108" s="80">
        <f>'PDB_woody perennials'!G693</f>
        <v>0</v>
      </c>
      <c r="AD108" s="58">
        <f>'PDB_woody perennials'!J693</f>
        <v>0</v>
      </c>
      <c r="AE108" s="10">
        <f t="shared" si="27"/>
        <v>0</v>
      </c>
      <c r="AF108" s="10">
        <f>Assumptions!$E$16</f>
        <v>0.5</v>
      </c>
      <c r="AG108" s="10">
        <f t="shared" si="28"/>
        <v>0</v>
      </c>
      <c r="AH108" s="10">
        <f t="shared" si="35"/>
        <v>0</v>
      </c>
      <c r="AI108" s="10">
        <f>'PDB_woody perennials'!K590</f>
        <v>0</v>
      </c>
      <c r="AJ108" s="80">
        <f>'PDB_woody perennials'!G590</f>
        <v>0</v>
      </c>
      <c r="AK108" s="58">
        <f>'PDB_woody perennials'!J590</f>
        <v>0</v>
      </c>
      <c r="AL108" s="10">
        <f>AK108-'BR_woody perennials'!AH80</f>
        <v>0</v>
      </c>
      <c r="AM108" s="10">
        <f>Assumptions!$E$16</f>
        <v>0.5</v>
      </c>
      <c r="AN108" s="10">
        <f t="shared" si="23"/>
        <v>0</v>
      </c>
      <c r="AO108" s="10">
        <f t="shared" si="29"/>
        <v>0</v>
      </c>
    </row>
    <row r="109" spans="1:41" x14ac:dyDescent="0.2">
      <c r="A109" s="595"/>
      <c r="B109" s="595"/>
      <c r="C109" s="595"/>
      <c r="D109" s="595"/>
      <c r="E109" s="588"/>
      <c r="F109" s="55" t="s">
        <v>178</v>
      </c>
      <c r="G109" s="10">
        <f>'PDB_woody perennials'!K995</f>
        <v>3.0395200000000004E-3</v>
      </c>
      <c r="H109" s="80">
        <f>'PDB_woody perennials'!G995</f>
        <v>50</v>
      </c>
      <c r="I109" s="10">
        <f>'PDB_woody perennials'!J995</f>
        <v>220.45401756844294</v>
      </c>
      <c r="J109" s="10">
        <f t="shared" si="31"/>
        <v>220.45401756844294</v>
      </c>
      <c r="K109" s="10">
        <f>Assumptions!$E$16</f>
        <v>0.5</v>
      </c>
      <c r="L109" s="10">
        <f t="shared" si="22"/>
        <v>1.2284697250459953</v>
      </c>
      <c r="M109" s="10">
        <f t="shared" si="17"/>
        <v>1.2284697250459953</v>
      </c>
      <c r="N109" s="10"/>
      <c r="O109" s="76"/>
      <c r="P109" s="10"/>
      <c r="Q109" s="10"/>
      <c r="R109" s="10">
        <f>Assumptions!$E$16</f>
        <v>0.5</v>
      </c>
      <c r="S109" s="10"/>
      <c r="T109" s="10"/>
      <c r="U109" s="10"/>
      <c r="V109" s="76"/>
      <c r="W109" s="58"/>
      <c r="X109" s="10"/>
      <c r="Y109" s="10">
        <f>Assumptions!$E$16</f>
        <v>0.5</v>
      </c>
      <c r="Z109" s="10"/>
      <c r="AA109" s="10"/>
      <c r="AB109" s="10"/>
      <c r="AC109" s="76"/>
      <c r="AD109" s="58"/>
      <c r="AE109" s="10"/>
      <c r="AF109" s="10">
        <f>Assumptions!$E$16</f>
        <v>0.5</v>
      </c>
      <c r="AG109" s="10"/>
      <c r="AH109" s="10"/>
      <c r="AI109" s="10"/>
      <c r="AJ109" s="76"/>
      <c r="AK109" s="58"/>
      <c r="AL109" s="10"/>
      <c r="AM109" s="10">
        <f>Assumptions!$E$16</f>
        <v>0.5</v>
      </c>
      <c r="AN109" s="10"/>
      <c r="AO109" s="10"/>
    </row>
    <row r="110" spans="1:41" x14ac:dyDescent="0.2">
      <c r="A110" s="595"/>
      <c r="B110" s="595"/>
      <c r="C110" s="595"/>
      <c r="D110" s="595"/>
      <c r="E110" s="588"/>
      <c r="F110" s="55" t="s">
        <v>173</v>
      </c>
      <c r="G110" s="10">
        <f>'PDB_woody perennials'!K996</f>
        <v>5.4447600000000007E-3</v>
      </c>
      <c r="H110" s="80">
        <f>'PDB_woody perennials'!G996</f>
        <v>150</v>
      </c>
      <c r="I110" s="10">
        <f>'PDB_woody perennials'!J996</f>
        <v>363.6303723471857</v>
      </c>
      <c r="J110" s="10">
        <f t="shared" si="31"/>
        <v>363.6303723471857</v>
      </c>
      <c r="K110" s="10">
        <f>Assumptions!$E$16</f>
        <v>0.5</v>
      </c>
      <c r="L110" s="10">
        <f t="shared" si="22"/>
        <v>3.6297801945919494</v>
      </c>
      <c r="M110" s="10">
        <f t="shared" si="17"/>
        <v>3.6297801945919494</v>
      </c>
      <c r="N110" s="10"/>
      <c r="O110" s="76"/>
      <c r="P110" s="10"/>
      <c r="Q110" s="10"/>
      <c r="R110" s="10">
        <f>Assumptions!$E$16</f>
        <v>0.5</v>
      </c>
      <c r="S110" s="10"/>
      <c r="T110" s="10"/>
      <c r="U110" s="10"/>
      <c r="V110" s="76"/>
      <c r="W110" s="58"/>
      <c r="X110" s="10"/>
      <c r="Y110" s="10">
        <f>Assumptions!$E$16</f>
        <v>0.5</v>
      </c>
      <c r="Z110" s="10"/>
      <c r="AA110" s="10"/>
      <c r="AB110" s="10"/>
      <c r="AC110" s="76"/>
      <c r="AD110" s="58"/>
      <c r="AE110" s="10"/>
      <c r="AF110" s="10">
        <f>Assumptions!$E$16</f>
        <v>0.5</v>
      </c>
      <c r="AG110" s="10"/>
      <c r="AH110" s="10"/>
      <c r="AI110" s="10"/>
      <c r="AJ110" s="76"/>
      <c r="AK110" s="58"/>
      <c r="AL110" s="10"/>
      <c r="AM110" s="10">
        <f>Assumptions!$E$16</f>
        <v>0.5</v>
      </c>
      <c r="AN110" s="10"/>
      <c r="AO110" s="10"/>
    </row>
    <row r="111" spans="1:41" x14ac:dyDescent="0.2">
      <c r="A111" s="596"/>
      <c r="B111" s="596"/>
      <c r="C111" s="596"/>
      <c r="D111" s="596"/>
      <c r="E111" s="589"/>
      <c r="F111" s="55" t="s">
        <v>379</v>
      </c>
      <c r="G111" s="10">
        <f>'PDB_woody perennials'!K997</f>
        <v>6.2289750000000012E-2</v>
      </c>
      <c r="H111" s="80">
        <f>'PDB_woody perennials'!G997</f>
        <v>150</v>
      </c>
      <c r="I111" s="10">
        <f>'PDB_woody perennials'!J997</f>
        <v>6143.9553762189253</v>
      </c>
      <c r="J111" s="10">
        <f t="shared" si="31"/>
        <v>6143.9553762189253</v>
      </c>
      <c r="K111" s="10">
        <f>Assumptions!$E$16</f>
        <v>0.5</v>
      </c>
      <c r="L111" s="10">
        <f t="shared" si="22"/>
        <v>701.62664805902705</v>
      </c>
      <c r="M111" s="10">
        <f t="shared" si="17"/>
        <v>701.62664805902705</v>
      </c>
      <c r="N111" s="10"/>
      <c r="O111" s="76"/>
      <c r="P111" s="10"/>
      <c r="Q111" s="10"/>
      <c r="R111" s="10">
        <f>Assumptions!$E$16</f>
        <v>0.5</v>
      </c>
      <c r="S111" s="10"/>
      <c r="T111" s="10"/>
      <c r="U111" s="10"/>
      <c r="V111" s="76"/>
      <c r="W111" s="58"/>
      <c r="X111" s="10"/>
      <c r="Y111" s="10">
        <f>Assumptions!$E$16</f>
        <v>0.5</v>
      </c>
      <c r="Z111" s="10"/>
      <c r="AA111" s="10"/>
      <c r="AB111" s="10"/>
      <c r="AC111" s="76"/>
      <c r="AD111" s="58"/>
      <c r="AE111" s="10"/>
      <c r="AF111" s="10">
        <f>Assumptions!$E$16</f>
        <v>0.5</v>
      </c>
      <c r="AG111" s="10"/>
      <c r="AH111" s="10"/>
      <c r="AI111" s="10"/>
      <c r="AJ111" s="76"/>
      <c r="AK111" s="58"/>
      <c r="AL111" s="10"/>
      <c r="AM111" s="10">
        <f>Assumptions!$E$16</f>
        <v>0.5</v>
      </c>
      <c r="AN111" s="10"/>
      <c r="AO111" s="10"/>
    </row>
    <row r="112" spans="1:41" x14ac:dyDescent="0.2">
      <c r="A112" s="79" t="s">
        <v>25</v>
      </c>
      <c r="B112" s="79"/>
      <c r="C112" s="79"/>
      <c r="D112" s="79" t="s">
        <v>36</v>
      </c>
      <c r="E112" s="485">
        <f>Assumptions!D77</f>
        <v>837.08299999999997</v>
      </c>
      <c r="F112" s="56" t="s">
        <v>323</v>
      </c>
      <c r="G112" s="10">
        <f>'PDB_woody perennials'!K998</f>
        <v>0</v>
      </c>
      <c r="H112" s="80">
        <f>'PDB_woody perennials'!G998</f>
        <v>0</v>
      </c>
      <c r="I112" s="10">
        <f>'PDB_woody perennials'!J998</f>
        <v>0</v>
      </c>
      <c r="J112" s="10">
        <f t="shared" si="31"/>
        <v>0</v>
      </c>
      <c r="K112" s="10">
        <f>Assumptions!$E$16</f>
        <v>0.5</v>
      </c>
      <c r="L112" s="10">
        <f t="shared" si="22"/>
        <v>0</v>
      </c>
      <c r="M112" s="10">
        <f t="shared" si="17"/>
        <v>0</v>
      </c>
      <c r="N112" s="10">
        <f>'PDB_woody perennials'!K900</f>
        <v>0</v>
      </c>
      <c r="O112" s="80">
        <f>'PDB_woody perennials'!G900</f>
        <v>0</v>
      </c>
      <c r="P112" s="10">
        <f>'PDB_woody perennials'!J900</f>
        <v>0</v>
      </c>
      <c r="Q112" s="10">
        <f t="shared" si="32"/>
        <v>0</v>
      </c>
      <c r="R112" s="10">
        <f>Assumptions!$E$16</f>
        <v>0.5</v>
      </c>
      <c r="S112" s="10">
        <f t="shared" si="24"/>
        <v>0</v>
      </c>
      <c r="T112" s="10">
        <f t="shared" si="33"/>
        <v>0</v>
      </c>
      <c r="U112" s="10">
        <f>'PDB_woody perennials'!K797</f>
        <v>0</v>
      </c>
      <c r="V112" s="80">
        <f>'PDB_woody perennials'!G797</f>
        <v>0</v>
      </c>
      <c r="W112" s="58">
        <f>'PDB_woody perennials'!J797</f>
        <v>0</v>
      </c>
      <c r="X112" s="10">
        <f t="shared" si="25"/>
        <v>0</v>
      </c>
      <c r="Y112" s="10">
        <f>Assumptions!$E$16</f>
        <v>0.5</v>
      </c>
      <c r="Z112" s="10">
        <f t="shared" si="26"/>
        <v>0</v>
      </c>
      <c r="AA112" s="10">
        <f t="shared" si="34"/>
        <v>0</v>
      </c>
      <c r="AB112" s="10">
        <f>'PDB_woody perennials'!K694</f>
        <v>0</v>
      </c>
      <c r="AC112" s="80">
        <f>'PDB_woody perennials'!G694</f>
        <v>0</v>
      </c>
      <c r="AD112" s="58">
        <f>'PDB_woody perennials'!J694</f>
        <v>0</v>
      </c>
      <c r="AE112" s="10">
        <f t="shared" si="27"/>
        <v>0</v>
      </c>
      <c r="AF112" s="10">
        <f>Assumptions!$E$16</f>
        <v>0.5</v>
      </c>
      <c r="AG112" s="10">
        <f t="shared" si="28"/>
        <v>0</v>
      </c>
      <c r="AH112" s="10">
        <f t="shared" si="35"/>
        <v>0</v>
      </c>
      <c r="AI112" s="10">
        <f>'PDB_woody perennials'!K591</f>
        <v>0</v>
      </c>
      <c r="AJ112" s="80">
        <f>'PDB_woody perennials'!G591</f>
        <v>0</v>
      </c>
      <c r="AK112" s="58">
        <f>'PDB_woody perennials'!J591</f>
        <v>0</v>
      </c>
      <c r="AL112" s="10">
        <f>AK112-'BR_woody perennials'!AH81</f>
        <v>0</v>
      </c>
      <c r="AM112" s="10">
        <f>Assumptions!$E$16</f>
        <v>0.5</v>
      </c>
      <c r="AN112" s="10">
        <f t="shared" si="23"/>
        <v>0</v>
      </c>
      <c r="AO112" s="10">
        <f t="shared" si="29"/>
        <v>0</v>
      </c>
    </row>
    <row r="113" spans="1:41" x14ac:dyDescent="0.2">
      <c r="A113" s="592" t="s">
        <v>26</v>
      </c>
      <c r="B113" s="592"/>
      <c r="C113" s="592"/>
      <c r="D113" s="592" t="s">
        <v>34</v>
      </c>
      <c r="E113" s="593">
        <f>Assumptions!D78</f>
        <v>1849.3409999999997</v>
      </c>
      <c r="F113" s="56" t="s">
        <v>308</v>
      </c>
      <c r="G113" s="10">
        <f>'PDB_woody perennials'!K999</f>
        <v>3.4194600000000006E-2</v>
      </c>
      <c r="H113" s="80">
        <f>'PDB_woody perennials'!G999</f>
        <v>1000</v>
      </c>
      <c r="I113" s="10">
        <f>'PDB_woody perennials'!J999</f>
        <v>2261.9872080308614</v>
      </c>
      <c r="J113" s="10">
        <f t="shared" si="31"/>
        <v>132.38720803086153</v>
      </c>
      <c r="K113" s="10">
        <f>Assumptions!$E$16</f>
        <v>0.5</v>
      </c>
      <c r="L113" s="10">
        <f t="shared" ref="L113:L146" si="36">G113*J113*K113*44/12</f>
        <v>8.2993673101755139</v>
      </c>
      <c r="M113" s="10">
        <f t="shared" ref="M113:M146" si="37">L113</f>
        <v>8.2993673101755139</v>
      </c>
      <c r="N113" s="10">
        <f>'PDB_woody perennials'!K901</f>
        <v>3.2381E-2</v>
      </c>
      <c r="O113" s="80">
        <f>'PDB_woody perennials'!G901</f>
        <v>982</v>
      </c>
      <c r="P113" s="10">
        <f>'PDB_woody perennials'!J901</f>
        <v>2129.6</v>
      </c>
      <c r="Q113" s="10">
        <f t="shared" si="32"/>
        <v>124.61825184716236</v>
      </c>
      <c r="R113" s="10">
        <f>Assumptions!$E$16</f>
        <v>0.5</v>
      </c>
      <c r="S113" s="10">
        <f t="shared" si="24"/>
        <v>7.3979832906154348</v>
      </c>
      <c r="T113" s="10">
        <f t="shared" si="33"/>
        <v>7.3979832906154348</v>
      </c>
      <c r="U113" s="10">
        <f>'PDB_woody perennials'!K798</f>
        <v>3.0663833955525851E-2</v>
      </c>
      <c r="V113" s="80">
        <f>'PDB_woody perennials'!G798</f>
        <v>964.32399999999996</v>
      </c>
      <c r="W113" s="58">
        <f>'PDB_woody perennials'!J798</f>
        <v>2004.9817481528376</v>
      </c>
      <c r="X113" s="10">
        <f t="shared" si="25"/>
        <v>117.33570110405913</v>
      </c>
      <c r="Y113" s="10">
        <f>Assumptions!$E$16</f>
        <v>0.5</v>
      </c>
      <c r="Z113" s="10">
        <f t="shared" si="26"/>
        <v>6.5962645021351465</v>
      </c>
      <c r="AA113" s="10">
        <f t="shared" si="34"/>
        <v>6.5962645021351465</v>
      </c>
      <c r="AB113" s="10">
        <f>'PDB_woody perennials'!K695</f>
        <v>2.9037613337052591E-2</v>
      </c>
      <c r="AC113" s="80">
        <f>'PDB_woody perennials'!G695</f>
        <v>946.96616799999993</v>
      </c>
      <c r="AD113" s="58">
        <f>'PDB_woody perennials'!J695</f>
        <v>1887.6460470487784</v>
      </c>
      <c r="AE113" s="10">
        <f t="shared" si="27"/>
        <v>98.423799132052181</v>
      </c>
      <c r="AF113" s="10">
        <f>Assumptions!$E$16</f>
        <v>0.5</v>
      </c>
      <c r="AG113" s="10">
        <f t="shared" si="28"/>
        <v>5.2396524076604836</v>
      </c>
      <c r="AH113" s="10">
        <f t="shared" si="35"/>
        <v>5.2396524076604836</v>
      </c>
      <c r="AI113" s="10">
        <f>'PDB_woody perennials'!K592</f>
        <v>2.7665989845852692E-2</v>
      </c>
      <c r="AJ113" s="80">
        <f>'PDB_woody perennials'!G592</f>
        <v>931.81470931199988</v>
      </c>
      <c r="AK113" s="58">
        <f>'PDB_woody perennials'!J592</f>
        <v>1789.2222479167262</v>
      </c>
      <c r="AL113" s="10">
        <f>AK113-'BR_woody perennials'!AH82</f>
        <v>90.318095156312893</v>
      </c>
      <c r="AM113" s="10">
        <f>Assumptions!$E$16</f>
        <v>0.5</v>
      </c>
      <c r="AN113" s="10">
        <f t="shared" si="23"/>
        <v>4.5810224230674015</v>
      </c>
      <c r="AO113" s="10">
        <f t="shared" si="29"/>
        <v>4.5810224230674015</v>
      </c>
    </row>
    <row r="114" spans="1:41" x14ac:dyDescent="0.2">
      <c r="A114" s="516"/>
      <c r="B114" s="516"/>
      <c r="C114" s="516"/>
      <c r="D114" s="516"/>
      <c r="E114" s="518"/>
      <c r="F114" s="56" t="s">
        <v>309</v>
      </c>
      <c r="G114" s="10">
        <f>'PDB_woody perennials'!K1000</f>
        <v>1.1335400000000002E-2</v>
      </c>
      <c r="H114" s="80">
        <f>'PDB_woody perennials'!G1000</f>
        <v>250</v>
      </c>
      <c r="I114" s="10">
        <f>'PDB_woody perennials'!J1000</f>
        <v>784.46894710099264</v>
      </c>
      <c r="J114" s="10">
        <f t="shared" si="31"/>
        <v>45.868947100992614</v>
      </c>
      <c r="K114" s="10">
        <f>Assumptions!$E$16</f>
        <v>0.5</v>
      </c>
      <c r="L114" s="10">
        <f t="shared" si="36"/>
        <v>0.95322858210908501</v>
      </c>
      <c r="M114" s="10">
        <f t="shared" si="37"/>
        <v>0.95322858210908501</v>
      </c>
      <c r="N114" s="10">
        <f>'PDB_woody perennials'!K902</f>
        <v>1.0734E-2</v>
      </c>
      <c r="O114" s="80">
        <f>'PDB_woody perennials'!G902</f>
        <v>246</v>
      </c>
      <c r="P114" s="10">
        <f>'PDB_woody perennials'!J902</f>
        <v>738.6</v>
      </c>
      <c r="Q114" s="10">
        <f t="shared" si="32"/>
        <v>43.261885201649193</v>
      </c>
      <c r="R114" s="10">
        <f>Assumptions!$E$16</f>
        <v>0.5</v>
      </c>
      <c r="S114" s="10">
        <f t="shared" si="24"/>
        <v>0.85135063888325446</v>
      </c>
      <c r="T114" s="10">
        <f t="shared" si="33"/>
        <v>0.85135063888325446</v>
      </c>
      <c r="U114" s="10">
        <f>'PDB_woody perennials'!K799</f>
        <v>1.0164962403989744E-2</v>
      </c>
      <c r="V114" s="80">
        <f>'PDB_woody perennials'!G799</f>
        <v>241.08099999999999</v>
      </c>
      <c r="W114" s="58">
        <f>'PDB_woody perennials'!J799</f>
        <v>695.33811479835083</v>
      </c>
      <c r="X114" s="10">
        <f t="shared" si="25"/>
        <v>40.69263237902544</v>
      </c>
      <c r="Y114" s="10">
        <f>Assumptions!$E$16</f>
        <v>0.5</v>
      </c>
      <c r="Z114" s="10">
        <f t="shared" si="26"/>
        <v>0.75833831012897701</v>
      </c>
      <c r="AA114" s="10">
        <f t="shared" si="34"/>
        <v>0.75833831012897701</v>
      </c>
      <c r="AB114" s="10">
        <f>'PDB_woody perennials'!K696</f>
        <v>9.6258754955702349E-3</v>
      </c>
      <c r="AC114" s="80">
        <f>'PDB_woody perennials'!G696</f>
        <v>236.74154199999998</v>
      </c>
      <c r="AD114" s="58">
        <f>'PDB_woody perennials'!J696</f>
        <v>654.64548241932539</v>
      </c>
      <c r="AE114" s="10">
        <f t="shared" si="27"/>
        <v>34.133886257481436</v>
      </c>
      <c r="AF114" s="10">
        <f>Assumptions!$E$16</f>
        <v>0.5</v>
      </c>
      <c r="AG114" s="10">
        <f t="shared" si="28"/>
        <v>0.60237565537319904</v>
      </c>
      <c r="AH114" s="10">
        <f t="shared" si="35"/>
        <v>0.60237565537319904</v>
      </c>
      <c r="AI114" s="10">
        <f>'PDB_woody perennials'!K593</f>
        <v>9.1711867165774324E-3</v>
      </c>
      <c r="AJ114" s="80">
        <f>'PDB_woody perennials'!G593</f>
        <v>232.95367732799997</v>
      </c>
      <c r="AK114" s="58">
        <f>'PDB_woody perennials'!J593</f>
        <v>620.51159616184395</v>
      </c>
      <c r="AL114" s="10">
        <f>AK114-'BR_woody perennials'!AH83</f>
        <v>31.322785893699461</v>
      </c>
      <c r="AM114" s="10">
        <f>Assumptions!$E$16</f>
        <v>0.5</v>
      </c>
      <c r="AN114" s="10">
        <f t="shared" si="23"/>
        <v>0.52665638284324168</v>
      </c>
      <c r="AO114" s="10">
        <f t="shared" si="29"/>
        <v>0.52665638284324168</v>
      </c>
    </row>
    <row r="115" spans="1:41" x14ac:dyDescent="0.2">
      <c r="A115" s="516"/>
      <c r="B115" s="516"/>
      <c r="C115" s="516"/>
      <c r="D115" s="516"/>
      <c r="E115" s="518"/>
      <c r="F115" s="56" t="s">
        <v>310</v>
      </c>
      <c r="G115" s="10">
        <f>'PDB_woody perennials'!K1001</f>
        <v>2.5120000000000003E-3</v>
      </c>
      <c r="H115" s="80">
        <f>'PDB_woody perennials'!G1001</f>
        <v>50</v>
      </c>
      <c r="I115" s="10">
        <f>'PDB_woody perennials'!J1001</f>
        <v>176.72052305266286</v>
      </c>
      <c r="J115" s="10">
        <f t="shared" si="31"/>
        <v>10.32052305266285</v>
      </c>
      <c r="K115" s="10">
        <f>Assumptions!$E$16</f>
        <v>0.5</v>
      </c>
      <c r="L115" s="10">
        <f t="shared" si="36"/>
        <v>4.7529448831863323E-2</v>
      </c>
      <c r="M115" s="10">
        <f t="shared" si="37"/>
        <v>4.7529448831863323E-2</v>
      </c>
      <c r="N115" s="10">
        <f>'PDB_woody perennials'!K903</f>
        <v>2.379E-3</v>
      </c>
      <c r="O115" s="80">
        <f>'PDB_woody perennials'!G903</f>
        <v>49</v>
      </c>
      <c r="P115" s="10">
        <f>'PDB_woody perennials'!J903</f>
        <v>166.4</v>
      </c>
      <c r="Q115" s="10">
        <f t="shared" si="32"/>
        <v>9.7583435013936537</v>
      </c>
      <c r="R115" s="10">
        <f>Assumptions!$E$16</f>
        <v>0.5</v>
      </c>
      <c r="S115" s="10">
        <f t="shared" si="24"/>
        <v>4.2561015181328425E-2</v>
      </c>
      <c r="T115" s="10">
        <f t="shared" si="33"/>
        <v>4.2561015181328425E-2</v>
      </c>
      <c r="U115" s="10">
        <f>'PDB_woody perennials'!K800</f>
        <v>2.2526232474215503E-3</v>
      </c>
      <c r="V115" s="80">
        <f>'PDB_woody perennials'!G800</f>
        <v>48.216200000000001</v>
      </c>
      <c r="W115" s="58">
        <f>'PDB_woody perennials'!J800</f>
        <v>156.64165649860635</v>
      </c>
      <c r="X115" s="10">
        <f t="shared" si="25"/>
        <v>9.1669954623268382</v>
      </c>
      <c r="Y115" s="10">
        <f>Assumptions!$E$16</f>
        <v>0.5</v>
      </c>
      <c r="Z115" s="10">
        <f t="shared" si="26"/>
        <v>3.785794299364971E-2</v>
      </c>
      <c r="AA115" s="10">
        <f t="shared" si="34"/>
        <v>3.785794299364971E-2</v>
      </c>
      <c r="AB115" s="10">
        <f>'PDB_woody perennials'!K697</f>
        <v>2.1331580045585012E-3</v>
      </c>
      <c r="AC115" s="80">
        <f>'PDB_woody perennials'!G697</f>
        <v>47.348308400000001</v>
      </c>
      <c r="AD115" s="58">
        <f>'PDB_woody perennials'!J697</f>
        <v>147.47466103627951</v>
      </c>
      <c r="AE115" s="10">
        <f t="shared" si="27"/>
        <v>7.6894799412188775</v>
      </c>
      <c r="AF115" s="10">
        <f>Assumptions!$E$16</f>
        <v>0.5</v>
      </c>
      <c r="AG115" s="10">
        <f t="shared" si="28"/>
        <v>3.0071938760422318E-2</v>
      </c>
      <c r="AH115" s="10">
        <f t="shared" si="35"/>
        <v>3.0071938760422318E-2</v>
      </c>
      <c r="AI115" s="10">
        <f>'PDB_woody perennials'!K594</f>
        <v>2.0323959482720076E-3</v>
      </c>
      <c r="AJ115" s="80">
        <f>'PDB_woody perennials'!G594</f>
        <v>46.590735465599998</v>
      </c>
      <c r="AK115" s="58">
        <f>'PDB_woody perennials'!J594</f>
        <v>139.78518109506064</v>
      </c>
      <c r="AL115" s="10">
        <f>AK115-'BR_woody perennials'!AH84</f>
        <v>7.0562118832838223</v>
      </c>
      <c r="AM115" s="10">
        <f>Assumptions!$E$16</f>
        <v>0.5</v>
      </c>
      <c r="AN115" s="10">
        <f t="shared" si="23"/>
        <v>2.6291863476513858E-2</v>
      </c>
      <c r="AO115" s="10">
        <f t="shared" si="29"/>
        <v>2.6291863476513858E-2</v>
      </c>
    </row>
    <row r="116" spans="1:41" x14ac:dyDescent="0.2">
      <c r="A116" s="516"/>
      <c r="B116" s="516"/>
      <c r="C116" s="516"/>
      <c r="D116" s="516"/>
      <c r="E116" s="518"/>
      <c r="F116" s="56" t="s">
        <v>185</v>
      </c>
      <c r="G116" s="10">
        <f>'PDB_woody perennials'!K1002</f>
        <v>3.9250000000000005E-3</v>
      </c>
      <c r="H116" s="80">
        <f>'PDB_woody perennials'!G1002</f>
        <v>50</v>
      </c>
      <c r="I116" s="10">
        <f>'PDB_woody perennials'!J1002</f>
        <v>296.56385503693718</v>
      </c>
      <c r="J116" s="10">
        <f t="shared" si="31"/>
        <v>17.363855036937196</v>
      </c>
      <c r="K116" s="10">
        <f>Assumptions!$E$16</f>
        <v>0.5</v>
      </c>
      <c r="L116" s="10">
        <f t="shared" si="36"/>
        <v>0.12494740686996057</v>
      </c>
      <c r="M116" s="10">
        <f t="shared" si="37"/>
        <v>0.12494740686996057</v>
      </c>
      <c r="N116" s="10">
        <f>'PDB_woody perennials'!K904</f>
        <v>3.7169999999999998E-3</v>
      </c>
      <c r="O116" s="80">
        <f>'PDB_woody perennials'!G904</f>
        <v>49</v>
      </c>
      <c r="P116" s="10">
        <f>'PDB_woody perennials'!J904</f>
        <v>279.2</v>
      </c>
      <c r="Q116" s="10">
        <f t="shared" si="32"/>
        <v>16.331530010496124</v>
      </c>
      <c r="R116" s="10">
        <f>Assumptions!$E$16</f>
        <v>0.5</v>
      </c>
      <c r="S116" s="10">
        <f t="shared" si="24"/>
        <v>0.11129121125652582</v>
      </c>
      <c r="T116" s="10">
        <f t="shared" si="33"/>
        <v>0.11129121125652582</v>
      </c>
      <c r="U116" s="10">
        <f>'PDB_woody perennials'!K801</f>
        <v>3.5197238240961717E-3</v>
      </c>
      <c r="V116" s="80">
        <f>'PDB_woody perennials'!G801</f>
        <v>48.216200000000001</v>
      </c>
      <c r="W116" s="58">
        <f>'PDB_woody perennials'!J801</f>
        <v>262.86846998950386</v>
      </c>
      <c r="X116" s="10">
        <f t="shared" si="25"/>
        <v>15.383609478134105</v>
      </c>
      <c r="Y116" s="10">
        <f>Assumptions!$E$16</f>
        <v>0.5</v>
      </c>
      <c r="Z116" s="10">
        <f t="shared" si="26"/>
        <v>9.9267770764763855E-2</v>
      </c>
      <c r="AA116" s="10">
        <f t="shared" si="34"/>
        <v>9.9267770764763855E-2</v>
      </c>
      <c r="AB116" s="10">
        <f>'PDB_woody perennials'!K698</f>
        <v>3.3330593821226579E-3</v>
      </c>
      <c r="AC116" s="80">
        <f>'PDB_woody perennials'!G698</f>
        <v>47.348308400000001</v>
      </c>
      <c r="AD116" s="58">
        <f>'PDB_woody perennials'!J698</f>
        <v>247.48486051136976</v>
      </c>
      <c r="AE116" s="10">
        <f t="shared" si="27"/>
        <v>12.90411422060717</v>
      </c>
      <c r="AF116" s="10">
        <f>Assumptions!$E$16</f>
        <v>0.5</v>
      </c>
      <c r="AG116" s="10">
        <f t="shared" si="28"/>
        <v>7.8851994780124751E-2</v>
      </c>
      <c r="AH116" s="10">
        <f t="shared" si="35"/>
        <v>7.8851994780124751E-2</v>
      </c>
      <c r="AI116" s="10">
        <f>'PDB_woody perennials'!K595</f>
        <v>3.1756186691750117E-3</v>
      </c>
      <c r="AJ116" s="80">
        <f>'PDB_woody perennials'!G595</f>
        <v>46.590735465599998</v>
      </c>
      <c r="AK116" s="58">
        <f>'PDB_woody perennials'!J595</f>
        <v>234.58074629076259</v>
      </c>
      <c r="AL116" s="10">
        <f>AK116-'BR_woody perennials'!AH85</f>
        <v>11.841394320910581</v>
      </c>
      <c r="AM116" s="10">
        <f>Assumptions!$E$16</f>
        <v>0.5</v>
      </c>
      <c r="AN116" s="10">
        <f t="shared" si="23"/>
        <v>6.8940213603335423E-2</v>
      </c>
      <c r="AO116" s="10">
        <f t="shared" si="29"/>
        <v>6.8940213603335423E-2</v>
      </c>
    </row>
    <row r="117" spans="1:41" x14ac:dyDescent="0.2">
      <c r="A117" s="516"/>
      <c r="B117" s="516"/>
      <c r="C117" s="516"/>
      <c r="D117" s="516"/>
      <c r="E117" s="518"/>
      <c r="F117" s="56" t="s">
        <v>311</v>
      </c>
      <c r="G117" s="10">
        <f>'PDB_woody perennials'!K1003</f>
        <v>9.6162500000000015E-3</v>
      </c>
      <c r="H117" s="80">
        <f>'PDB_woody perennials'!G1003</f>
        <v>250</v>
      </c>
      <c r="I117" s="10">
        <f>'PDB_woody perennials'!J1003</f>
        <v>648.20992384111992</v>
      </c>
      <c r="J117" s="10">
        <f t="shared" si="31"/>
        <v>37.909923841119962</v>
      </c>
      <c r="K117" s="10">
        <f>Assumptions!$E$16</f>
        <v>0.5</v>
      </c>
      <c r="L117" s="10">
        <f t="shared" si="36"/>
        <v>0.66834405941814479</v>
      </c>
      <c r="M117" s="10">
        <f t="shared" si="37"/>
        <v>0.66834405941814479</v>
      </c>
      <c r="N117" s="10">
        <f>'PDB_woody perennials'!K905</f>
        <v>9.1059999999999995E-3</v>
      </c>
      <c r="O117" s="80">
        <f>'PDB_woody perennials'!G905</f>
        <v>246</v>
      </c>
      <c r="P117" s="10">
        <f>'PDB_woody perennials'!J905</f>
        <v>610.29999999999995</v>
      </c>
      <c r="Q117" s="10">
        <f t="shared" si="32"/>
        <v>35.739250204967561</v>
      </c>
      <c r="R117" s="10">
        <f>Assumptions!$E$16</f>
        <v>0.5</v>
      </c>
      <c r="S117" s="10">
        <f t="shared" si="24"/>
        <v>0.59664295600513007</v>
      </c>
      <c r="T117" s="10">
        <f t="shared" si="33"/>
        <v>0.59664295600513007</v>
      </c>
      <c r="U117" s="10">
        <f>'PDB_woody perennials'!K802</f>
        <v>8.6233233690356202E-3</v>
      </c>
      <c r="V117" s="80">
        <f>'PDB_woody perennials'!G802</f>
        <v>241.08099999999999</v>
      </c>
      <c r="W117" s="58">
        <f>'PDB_woody perennials'!J802</f>
        <v>574.56074979503239</v>
      </c>
      <c r="X117" s="10">
        <f t="shared" si="25"/>
        <v>33.624489831980782</v>
      </c>
      <c r="Y117" s="10">
        <f>Assumptions!$E$16</f>
        <v>0.5</v>
      </c>
      <c r="Z117" s="10">
        <f t="shared" si="26"/>
        <v>0.53158388972337089</v>
      </c>
      <c r="AA117" s="10">
        <f t="shared" si="34"/>
        <v>0.53158388972337089</v>
      </c>
      <c r="AB117" s="10">
        <f>'PDB_woody perennials'!K699</f>
        <v>8.165995486200511E-3</v>
      </c>
      <c r="AC117" s="80">
        <f>'PDB_woody perennials'!G699</f>
        <v>236.74154199999998</v>
      </c>
      <c r="AD117" s="58">
        <f>'PDB_woody perennials'!J699</f>
        <v>540.93625996305161</v>
      </c>
      <c r="AE117" s="10">
        <f t="shared" si="27"/>
        <v>28.204970882696898</v>
      </c>
      <c r="AF117" s="10">
        <f>Assumptions!$E$16</f>
        <v>0.5</v>
      </c>
      <c r="AG117" s="10">
        <f t="shared" si="28"/>
        <v>0.42225638568028612</v>
      </c>
      <c r="AH117" s="10">
        <f t="shared" si="35"/>
        <v>0.42225638568028612</v>
      </c>
      <c r="AI117" s="10">
        <f>'PDB_woody perennials'!K596</f>
        <v>7.7802657394787766E-3</v>
      </c>
      <c r="AJ117" s="80">
        <f>'PDB_woody perennials'!G596</f>
        <v>232.95367732799997</v>
      </c>
      <c r="AK117" s="58">
        <f>'PDB_woody perennials'!J596</f>
        <v>512.73128908035471</v>
      </c>
      <c r="AL117" s="10">
        <f>AK117-'BR_woody perennials'!AH86</f>
        <v>25.882147067361188</v>
      </c>
      <c r="AM117" s="10">
        <f>Assumptions!$E$16</f>
        <v>0.5</v>
      </c>
      <c r="AN117" s="10">
        <f t="shared" si="23"/>
        <v>0.36917830050262573</v>
      </c>
      <c r="AO117" s="10">
        <f t="shared" si="29"/>
        <v>0.36917830050262573</v>
      </c>
    </row>
    <row r="118" spans="1:41" x14ac:dyDescent="0.2">
      <c r="A118" s="516"/>
      <c r="B118" s="516"/>
      <c r="C118" s="516"/>
      <c r="D118" s="516"/>
      <c r="E118" s="518"/>
      <c r="F118" s="56" t="s">
        <v>295</v>
      </c>
      <c r="G118" s="10">
        <f>'PDB_woody perennials'!K1004</f>
        <v>5.6716250000000005E-3</v>
      </c>
      <c r="H118" s="80">
        <f>'PDB_woody perennials'!G1004</f>
        <v>100</v>
      </c>
      <c r="I118" s="10">
        <f>'PDB_woody perennials'!J1004</f>
        <v>406.81796382589846</v>
      </c>
      <c r="J118" s="10">
        <f t="shared" si="31"/>
        <v>23.81796382589846</v>
      </c>
      <c r="K118" s="10">
        <f>Assumptions!$E$16</f>
        <v>0.5</v>
      </c>
      <c r="L118" s="10">
        <f t="shared" si="36"/>
        <v>0.2476586916541125</v>
      </c>
      <c r="M118" s="10">
        <f t="shared" si="37"/>
        <v>0.2476586916541125</v>
      </c>
      <c r="N118" s="10">
        <f>'PDB_woody perennials'!K906</f>
        <v>5.3709999999999999E-3</v>
      </c>
      <c r="O118" s="80">
        <f>'PDB_woody perennials'!G906</f>
        <v>98</v>
      </c>
      <c r="P118" s="10">
        <f>'PDB_woody perennials'!J906</f>
        <v>383</v>
      </c>
      <c r="Q118" s="10">
        <f t="shared" si="32"/>
        <v>22.404418647579064</v>
      </c>
      <c r="R118" s="10">
        <f>Assumptions!$E$16</f>
        <v>0.5</v>
      </c>
      <c r="S118" s="10">
        <f t="shared" si="24"/>
        <v>0.22061257635293643</v>
      </c>
      <c r="T118" s="10">
        <f t="shared" si="33"/>
        <v>0.22061257635293643</v>
      </c>
      <c r="U118" s="10">
        <f>'PDB_woody perennials'!K803</f>
        <v>5.0860009258189686E-3</v>
      </c>
      <c r="V118" s="80">
        <f>'PDB_woody perennials'!G803</f>
        <v>96.432400000000001</v>
      </c>
      <c r="W118" s="58">
        <f>'PDB_woody perennials'!J803</f>
        <v>360.59558135242094</v>
      </c>
      <c r="X118" s="10">
        <f t="shared" si="25"/>
        <v>21.102803250949137</v>
      </c>
      <c r="Y118" s="10">
        <f>Assumptions!$E$16</f>
        <v>0.5</v>
      </c>
      <c r="Z118" s="10">
        <f t="shared" si="26"/>
        <v>0.1967696075981219</v>
      </c>
      <c r="AA118" s="10">
        <f t="shared" si="34"/>
        <v>0.1967696075981219</v>
      </c>
      <c r="AB118" s="10">
        <f>'PDB_woody perennials'!K700</f>
        <v>4.8162708071672403E-3</v>
      </c>
      <c r="AC118" s="80">
        <f>'PDB_woody perennials'!G700</f>
        <v>94.696616800000001</v>
      </c>
      <c r="AD118" s="58">
        <f>'PDB_woody perennials'!J700</f>
        <v>339.4927781014718</v>
      </c>
      <c r="AE118" s="10">
        <f t="shared" si="27"/>
        <v>17.701501322710271</v>
      </c>
      <c r="AF118" s="10">
        <f>Assumptions!$E$16</f>
        <v>0.5</v>
      </c>
      <c r="AG118" s="10">
        <f t="shared" si="28"/>
        <v>0.15630124411660323</v>
      </c>
      <c r="AH118" s="10">
        <f t="shared" si="35"/>
        <v>0.15630124411660323</v>
      </c>
      <c r="AI118" s="10">
        <f>'PDB_woody perennials'!K597</f>
        <v>4.5887689769578913E-3</v>
      </c>
      <c r="AJ118" s="80">
        <f>'PDB_woody perennials'!G597</f>
        <v>93.181470931199996</v>
      </c>
      <c r="AK118" s="58">
        <f>'PDB_woody perennials'!J597</f>
        <v>321.79127677876153</v>
      </c>
      <c r="AL118" s="10">
        <f>AK118-'BR_woody perennials'!AH87</f>
        <v>16.243692023400001</v>
      </c>
      <c r="AM118" s="10">
        <f>Assumptions!$E$16</f>
        <v>0.5</v>
      </c>
      <c r="AN118" s="10">
        <f t="shared" si="23"/>
        <v>0.13665400838509986</v>
      </c>
      <c r="AO118" s="10">
        <f t="shared" si="29"/>
        <v>0.13665400838509986</v>
      </c>
    </row>
    <row r="119" spans="1:41" x14ac:dyDescent="0.2">
      <c r="A119" s="516"/>
      <c r="B119" s="516"/>
      <c r="C119" s="516"/>
      <c r="D119" s="516"/>
      <c r="E119" s="518"/>
      <c r="F119" s="56" t="s">
        <v>312</v>
      </c>
      <c r="G119" s="10">
        <f>'PDB_woody perennials'!K1005</f>
        <v>5.0240000000000007E-2</v>
      </c>
      <c r="H119" s="80">
        <f>'PDB_woody perennials'!G1005</f>
        <v>1000</v>
      </c>
      <c r="I119" s="10">
        <f>'PDB_woody perennials'!J1005</f>
        <v>3534.4104610532568</v>
      </c>
      <c r="J119" s="10">
        <f t="shared" si="31"/>
        <v>206.81046105325686</v>
      </c>
      <c r="K119" s="10">
        <f>Assumptions!$E$16</f>
        <v>0.5</v>
      </c>
      <c r="L119" s="10">
        <f t="shared" si="36"/>
        <v>19.04862219941198</v>
      </c>
      <c r="M119" s="10">
        <f t="shared" si="37"/>
        <v>19.04862219941198</v>
      </c>
      <c r="N119" s="10">
        <f>'PDB_woody perennials'!K907</f>
        <v>4.7576E-2</v>
      </c>
      <c r="O119" s="80">
        <f>'PDB_woody perennials'!G907</f>
        <v>982</v>
      </c>
      <c r="P119" s="10">
        <f>'PDB_woody perennials'!J907</f>
        <v>3327.6</v>
      </c>
      <c r="Q119" s="10">
        <f t="shared" si="32"/>
        <v>194.76687002787321</v>
      </c>
      <c r="R119" s="10">
        <f>Assumptions!$E$16</f>
        <v>0.5</v>
      </c>
      <c r="S119" s="10">
        <f t="shared" si="24"/>
        <v>16.988085782151174</v>
      </c>
      <c r="T119" s="10">
        <f t="shared" si="33"/>
        <v>16.988085782151174</v>
      </c>
      <c r="U119" s="10">
        <f>'PDB_woody perennials'!K804</f>
        <v>4.5052464948431001E-2</v>
      </c>
      <c r="V119" s="80">
        <f>'PDB_woody perennials'!G804</f>
        <v>964.32399999999996</v>
      </c>
      <c r="W119" s="58">
        <f>'PDB_woody perennials'!J804</f>
        <v>3132.8331299721267</v>
      </c>
      <c r="X119" s="10">
        <f t="shared" si="25"/>
        <v>183.33990924653654</v>
      </c>
      <c r="Y119" s="10">
        <f>Assumptions!$E$16</f>
        <v>0.5</v>
      </c>
      <c r="Z119" s="10">
        <f t="shared" si="26"/>
        <v>15.143177197459865</v>
      </c>
      <c r="AA119" s="10">
        <f t="shared" si="34"/>
        <v>15.143177197459865</v>
      </c>
      <c r="AB119" s="10">
        <f>'PDB_woody perennials'!K701</f>
        <v>4.2663160091170022E-2</v>
      </c>
      <c r="AC119" s="80">
        <f>'PDB_woody perennials'!G701</f>
        <v>946.96616799999993</v>
      </c>
      <c r="AD119" s="58">
        <f>'PDB_woody perennials'!J701</f>
        <v>2949.4932207255902</v>
      </c>
      <c r="AE119" s="10">
        <f t="shared" si="27"/>
        <v>153.78959882437812</v>
      </c>
      <c r="AF119" s="10">
        <f>Assumptions!$E$16</f>
        <v>0.5</v>
      </c>
      <c r="AG119" s="10">
        <f t="shared" si="28"/>
        <v>12.028775504168971</v>
      </c>
      <c r="AH119" s="10">
        <f t="shared" si="35"/>
        <v>12.028775504168971</v>
      </c>
      <c r="AI119" s="10">
        <f>'PDB_woody perennials'!K598</f>
        <v>4.064791896544015E-2</v>
      </c>
      <c r="AJ119" s="80">
        <f>'PDB_woody perennials'!G598</f>
        <v>931.81470931199988</v>
      </c>
      <c r="AK119" s="58">
        <f>'PDB_woody perennials'!J598</f>
        <v>2795.703621901212</v>
      </c>
      <c r="AL119" s="10">
        <f>AK119-'BR_woody perennials'!AH88</f>
        <v>141.12423766567554</v>
      </c>
      <c r="AM119" s="10">
        <f>Assumptions!$E$16</f>
        <v>0.5</v>
      </c>
      <c r="AN119" s="10">
        <f t="shared" si="23"/>
        <v>10.516745390605475</v>
      </c>
      <c r="AO119" s="10">
        <f t="shared" si="29"/>
        <v>10.516745390605475</v>
      </c>
    </row>
    <row r="120" spans="1:41" x14ac:dyDescent="0.2">
      <c r="A120" s="516"/>
      <c r="B120" s="516"/>
      <c r="C120" s="516"/>
      <c r="D120" s="516"/>
      <c r="E120" s="518"/>
      <c r="F120" s="56" t="s">
        <v>313</v>
      </c>
      <c r="G120" s="10">
        <f>'PDB_woody perennials'!K1006</f>
        <v>7.0846250000000013E-2</v>
      </c>
      <c r="H120" s="80">
        <f>'PDB_woody perennials'!G1006</f>
        <v>250</v>
      </c>
      <c r="I120" s="10">
        <f>'PDB_woody perennials'!J1006</f>
        <v>6573.4986337361415</v>
      </c>
      <c r="J120" s="10">
        <f t="shared" si="31"/>
        <v>384.69863373614135</v>
      </c>
      <c r="K120" s="10">
        <f>Assumptions!$E$16</f>
        <v>0.5</v>
      </c>
      <c r="L120" s="10">
        <f t="shared" si="36"/>
        <v>49.966501897270028</v>
      </c>
      <c r="M120" s="10">
        <f t="shared" si="37"/>
        <v>49.966501897270028</v>
      </c>
      <c r="N120" s="10">
        <f>'PDB_woody perennials'!K908</f>
        <v>6.7088999999999996E-2</v>
      </c>
      <c r="O120" s="80">
        <f>'PDB_woody perennials'!G908</f>
        <v>246</v>
      </c>
      <c r="P120" s="10">
        <f>'PDB_woody perennials'!J908</f>
        <v>6188.8</v>
      </c>
      <c r="Q120" s="10">
        <f t="shared" si="32"/>
        <v>362.17784433272391</v>
      </c>
      <c r="R120" s="10">
        <f>Assumptions!$E$16</f>
        <v>0.5</v>
      </c>
      <c r="S120" s="10">
        <f t="shared" si="24"/>
        <v>44.546607230469874</v>
      </c>
      <c r="T120" s="10">
        <f t="shared" si="33"/>
        <v>44.546607230469874</v>
      </c>
      <c r="U120" s="10">
        <f>'PDB_woody perennials'!K805</f>
        <v>6.3531015024935925E-2</v>
      </c>
      <c r="V120" s="80">
        <f>'PDB_woody perennials'!G805</f>
        <v>241.08099999999999</v>
      </c>
      <c r="W120" s="58">
        <f>'PDB_woody perennials'!J805</f>
        <v>5826.6221556672763</v>
      </c>
      <c r="X120" s="10">
        <f t="shared" si="25"/>
        <v>340.98604455303484</v>
      </c>
      <c r="Y120" s="10">
        <f>Assumptions!$E$16</f>
        <v>0.5</v>
      </c>
      <c r="Z120" s="10">
        <f t="shared" si="26"/>
        <v>39.715847452952595</v>
      </c>
      <c r="AA120" s="10">
        <f t="shared" si="34"/>
        <v>39.715847452952595</v>
      </c>
      <c r="AB120" s="10">
        <f>'PDB_woody perennials'!K702</f>
        <v>6.0161721847313977E-2</v>
      </c>
      <c r="AC120" s="80">
        <f>'PDB_woody perennials'!G702</f>
        <v>236.74154199999998</v>
      </c>
      <c r="AD120" s="58">
        <f>'PDB_woody perennials'!J702</f>
        <v>5485.6361111142414</v>
      </c>
      <c r="AE120" s="10">
        <f t="shared" si="27"/>
        <v>286.02668787189668</v>
      </c>
      <c r="AF120" s="10">
        <f>Assumptions!$E$16</f>
        <v>0.5</v>
      </c>
      <c r="AG120" s="10">
        <f t="shared" si="28"/>
        <v>31.547739733872159</v>
      </c>
      <c r="AH120" s="10">
        <f t="shared" si="35"/>
        <v>31.547739733872159</v>
      </c>
      <c r="AI120" s="10">
        <f>'PDB_woody perennials'!K599</f>
        <v>5.7319916978608956E-2</v>
      </c>
      <c r="AJ120" s="80">
        <f>'PDB_woody perennials'!G599</f>
        <v>232.95367732799997</v>
      </c>
      <c r="AK120" s="58">
        <f>'PDB_woody perennials'!J599</f>
        <v>5199.6094232423447</v>
      </c>
      <c r="AL120" s="10">
        <f>AK120-'BR_woody perennials'!AH89</f>
        <v>262.470925124514</v>
      </c>
      <c r="AM120" s="10">
        <f>Assumptions!$E$16</f>
        <v>0.5</v>
      </c>
      <c r="AN120" s="10">
        <f t="shared" si="23"/>
        <v>27.582154668632356</v>
      </c>
      <c r="AO120" s="10">
        <f t="shared" si="29"/>
        <v>27.582154668632356</v>
      </c>
    </row>
    <row r="121" spans="1:41" x14ac:dyDescent="0.2">
      <c r="A121" s="516"/>
      <c r="B121" s="516"/>
      <c r="C121" s="516"/>
      <c r="D121" s="516"/>
      <c r="E121" s="518"/>
      <c r="F121" s="56" t="s">
        <v>314</v>
      </c>
      <c r="G121" s="10">
        <f>'PDB_woody perennials'!K1007</f>
        <v>1.5035497500000002E-2</v>
      </c>
      <c r="H121" s="80">
        <f>'PDB_woody perennials'!G1007</f>
        <v>150</v>
      </c>
      <c r="I121" s="10">
        <f>'PDB_woody perennials'!J1007</f>
        <v>1181.357824363625</v>
      </c>
      <c r="J121" s="10">
        <f t="shared" si="31"/>
        <v>69.157824363624968</v>
      </c>
      <c r="K121" s="10">
        <f>Assumptions!$E$16</f>
        <v>0.5</v>
      </c>
      <c r="L121" s="10">
        <f t="shared" si="36"/>
        <v>1.9063408747619912</v>
      </c>
      <c r="M121" s="10">
        <f t="shared" si="37"/>
        <v>1.9063408747619912</v>
      </c>
      <c r="N121" s="10">
        <f>'PDB_woody perennials'!K909</f>
        <v>1.4238000000000001E-2</v>
      </c>
      <c r="O121" s="80">
        <f>'PDB_woody perennials'!G909</f>
        <v>147</v>
      </c>
      <c r="P121" s="10">
        <f>'PDB_woody perennials'!J909</f>
        <v>1112.2</v>
      </c>
      <c r="Q121" s="10">
        <f t="shared" si="32"/>
        <v>65.067254298683793</v>
      </c>
      <c r="R121" s="10">
        <f>Assumptions!$E$16</f>
        <v>0.5</v>
      </c>
      <c r="S121" s="10">
        <f t="shared" si="24"/>
        <v>1.6984505389585431</v>
      </c>
      <c r="T121" s="10">
        <f t="shared" si="33"/>
        <v>1.6984505389585431</v>
      </c>
      <c r="U121" s="10">
        <f>'PDB_woody perennials'!K806</f>
        <v>1.3483006052965207E-2</v>
      </c>
      <c r="V121" s="80">
        <f>'PDB_woody perennials'!G806</f>
        <v>144.64860000000002</v>
      </c>
      <c r="W121" s="58">
        <f>'PDB_woody perennials'!J806</f>
        <v>1047.1327457013163</v>
      </c>
      <c r="X121" s="10">
        <f t="shared" si="25"/>
        <v>61.280385708786412</v>
      </c>
      <c r="Y121" s="10">
        <f>Assumptions!$E$16</f>
        <v>0.5</v>
      </c>
      <c r="Z121" s="10">
        <f t="shared" si="26"/>
        <v>1.5147803209726181</v>
      </c>
      <c r="AA121" s="10">
        <f t="shared" si="34"/>
        <v>1.5147803209726181</v>
      </c>
      <c r="AB121" s="10">
        <f>'PDB_woody perennials'!K703</f>
        <v>1.2767950575097267E-2</v>
      </c>
      <c r="AC121" s="80">
        <f>'PDB_woody perennials'!G703</f>
        <v>142.04492520000002</v>
      </c>
      <c r="AD121" s="58">
        <f>'PDB_woody perennials'!J703</f>
        <v>985.85235999252984</v>
      </c>
      <c r="AE121" s="10">
        <f t="shared" si="27"/>
        <v>51.403352236224237</v>
      </c>
      <c r="AF121" s="10">
        <f>Assumptions!$E$16</f>
        <v>0.5</v>
      </c>
      <c r="AG121" s="10">
        <f t="shared" si="28"/>
        <v>1.203245011368449</v>
      </c>
      <c r="AH121" s="10">
        <f t="shared" si="35"/>
        <v>1.203245011368449</v>
      </c>
      <c r="AI121" s="10">
        <f>'PDB_woody perennials'!K600</f>
        <v>1.2164842436008716E-2</v>
      </c>
      <c r="AJ121" s="80">
        <f>'PDB_woody perennials'!G600</f>
        <v>139.77220639680002</v>
      </c>
      <c r="AK121" s="58">
        <f>'PDB_woody perennials'!J600</f>
        <v>934.4490077563056</v>
      </c>
      <c r="AL121" s="10">
        <f>AK121-'BR_woody perennials'!AH90</f>
        <v>47.170022896551018</v>
      </c>
      <c r="AM121" s="10">
        <f>Assumptions!$E$16</f>
        <v>0.5</v>
      </c>
      <c r="AN121" s="10">
        <f t="shared" si="23"/>
        <v>1.0519958097723554</v>
      </c>
      <c r="AO121" s="10">
        <f t="shared" si="29"/>
        <v>1.0519958097723554</v>
      </c>
    </row>
    <row r="122" spans="1:41" x14ac:dyDescent="0.2">
      <c r="A122" s="516"/>
      <c r="B122" s="516"/>
      <c r="C122" s="516"/>
      <c r="D122" s="516"/>
      <c r="E122" s="518"/>
      <c r="F122" s="56" t="s">
        <v>315</v>
      </c>
      <c r="G122" s="10">
        <f>'PDB_woody perennials'!K1008</f>
        <v>0.86225656000000006</v>
      </c>
      <c r="H122" s="80">
        <f>'PDB_woody perennials'!G1008</f>
        <v>1100</v>
      </c>
      <c r="I122" s="10">
        <f>'PDB_woody perennials'!J1008</f>
        <v>94148.830781068493</v>
      </c>
      <c r="J122" s="10">
        <f t="shared" si="31"/>
        <v>5509.8307810684928</v>
      </c>
      <c r="K122" s="10">
        <f>Assumptions!$E$16</f>
        <v>0.5</v>
      </c>
      <c r="L122" s="10">
        <f t="shared" si="36"/>
        <v>8709.9608483547581</v>
      </c>
      <c r="M122" s="10">
        <f t="shared" si="37"/>
        <v>8709.9608483547581</v>
      </c>
      <c r="N122" s="10">
        <f>'PDB_woody perennials'!K910</f>
        <v>0.81652800000000003</v>
      </c>
      <c r="O122" s="80">
        <f>'PDB_woody perennials'!G910</f>
        <v>1080</v>
      </c>
      <c r="P122" s="10">
        <f>'PDB_woody perennials'!J910</f>
        <v>88639</v>
      </c>
      <c r="Q122" s="10">
        <f t="shared" si="32"/>
        <v>5187.2958277644793</v>
      </c>
      <c r="R122" s="10">
        <f>Assumptions!$E$16</f>
        <v>0.5</v>
      </c>
      <c r="S122" s="10">
        <f t="shared" si="24"/>
        <v>7765.2158606969379</v>
      </c>
      <c r="T122" s="10">
        <f t="shared" si="33"/>
        <v>7765.2158606969379</v>
      </c>
      <c r="U122" s="10">
        <f>'PDB_woody perennials'!K807</f>
        <v>0.77322419279368415</v>
      </c>
      <c r="V122" s="80">
        <f>'PDB_woody perennials'!G807</f>
        <v>1060.7564</v>
      </c>
      <c r="W122" s="58">
        <f>'PDB_woody perennials'!J807</f>
        <v>83451.704172235521</v>
      </c>
      <c r="X122" s="10">
        <f t="shared" si="25"/>
        <v>4883.7672594272444</v>
      </c>
      <c r="Y122" s="10">
        <f>Assumptions!$E$16</f>
        <v>0.5</v>
      </c>
      <c r="Z122" s="10">
        <f t="shared" si="26"/>
        <v>6923.1194944318995</v>
      </c>
      <c r="AA122" s="10">
        <f t="shared" si="34"/>
        <v>6923.1194944318995</v>
      </c>
      <c r="AB122" s="10">
        <f>'PDB_woody perennials'!K704</f>
        <v>0.73221715085472827</v>
      </c>
      <c r="AC122" s="80">
        <f>'PDB_woody perennials'!G704</f>
        <v>1041.6627848000001</v>
      </c>
      <c r="AD122" s="58">
        <f>'PDB_woody perennials'!J704</f>
        <v>78567.936912808276</v>
      </c>
      <c r="AE122" s="10">
        <f t="shared" si="27"/>
        <v>4096.6127378680394</v>
      </c>
      <c r="AF122" s="10">
        <f>Assumptions!$E$16</f>
        <v>0.5</v>
      </c>
      <c r="AG122" s="10">
        <f t="shared" si="28"/>
        <v>5499.2851963076937</v>
      </c>
      <c r="AH122" s="10">
        <f t="shared" si="35"/>
        <v>5499.2851963076937</v>
      </c>
      <c r="AI122" s="10">
        <f>'PDB_woody perennials'!K601</f>
        <v>0.69763007122410792</v>
      </c>
      <c r="AJ122" s="80">
        <f>'PDB_woody perennials'!G601</f>
        <v>1024.9961802432001</v>
      </c>
      <c r="AK122" s="58">
        <f>'PDB_woody perennials'!J601</f>
        <v>74471.324174940237</v>
      </c>
      <c r="AL122" s="10">
        <f>AK122-'BR_woody perennials'!AH91</f>
        <v>3759.2356964485225</v>
      </c>
      <c r="AM122" s="10">
        <f>Assumptions!$E$16</f>
        <v>0.5</v>
      </c>
      <c r="AN122" s="10">
        <f t="shared" si="23"/>
        <v>4808.0190888795851</v>
      </c>
      <c r="AO122" s="10">
        <f t="shared" si="29"/>
        <v>4808.0190888795851</v>
      </c>
    </row>
    <row r="123" spans="1:41" x14ac:dyDescent="0.2">
      <c r="A123" s="516"/>
      <c r="B123" s="516"/>
      <c r="C123" s="516"/>
      <c r="D123" s="516"/>
      <c r="E123" s="518"/>
      <c r="F123" s="56" t="s">
        <v>316</v>
      </c>
      <c r="G123" s="10">
        <f>'PDB_woody perennials'!K1009</f>
        <v>0.18859625000000002</v>
      </c>
      <c r="H123" s="80">
        <f>'PDB_woody perennials'!G1009</f>
        <v>250</v>
      </c>
      <c r="I123" s="10">
        <f>'PDB_woody perennials'!J1009</f>
        <v>20466.677791627397</v>
      </c>
      <c r="J123" s="10">
        <f t="shared" si="31"/>
        <v>1197.7777916273953</v>
      </c>
      <c r="K123" s="10">
        <f>Assumptions!$E$16</f>
        <v>0.5</v>
      </c>
      <c r="L123" s="10">
        <f t="shared" si="36"/>
        <v>414.14339969604833</v>
      </c>
      <c r="M123" s="10">
        <f t="shared" si="37"/>
        <v>414.14339969604833</v>
      </c>
      <c r="N123" s="10">
        <f>'PDB_woody perennials'!K911</f>
        <v>0.178594</v>
      </c>
      <c r="O123" s="80">
        <f>'PDB_woody perennials'!G911</f>
        <v>246</v>
      </c>
      <c r="P123" s="10">
        <f>'PDB_woody perennials'!J911</f>
        <v>19268.900000000001</v>
      </c>
      <c r="Q123" s="10">
        <f t="shared" si="32"/>
        <v>1127.6323253429437</v>
      </c>
      <c r="R123" s="10">
        <f>Assumptions!$E$16</f>
        <v>0.5</v>
      </c>
      <c r="S123" s="10">
        <f t="shared" si="24"/>
        <v>369.21200710587908</v>
      </c>
      <c r="T123" s="10">
        <f t="shared" si="33"/>
        <v>369.21200710587908</v>
      </c>
      <c r="U123" s="10">
        <f>'PDB_woody perennials'!K808</f>
        <v>0.16912272974782108</v>
      </c>
      <c r="V123" s="80">
        <f>'PDB_woody perennials'!G808</f>
        <v>241.08099999999999</v>
      </c>
      <c r="W123" s="58">
        <f>'PDB_woody perennials'!J808</f>
        <v>18141.267674657058</v>
      </c>
      <c r="X123" s="10">
        <f t="shared" si="25"/>
        <v>1061.6647076629815</v>
      </c>
      <c r="Y123" s="10">
        <f>Assumptions!$E$16</f>
        <v>0.5</v>
      </c>
      <c r="Z123" s="10">
        <f t="shared" si="26"/>
        <v>329.17799463429083</v>
      </c>
      <c r="AA123" s="10">
        <f t="shared" si="34"/>
        <v>329.17799463429083</v>
      </c>
      <c r="AB123" s="10">
        <f>'PDB_woody perennials'!K705</f>
        <v>0.16015350331099376</v>
      </c>
      <c r="AC123" s="80">
        <f>'PDB_woody perennials'!G705</f>
        <v>236.74154199999998</v>
      </c>
      <c r="AD123" s="58">
        <f>'PDB_woody perennials'!J705</f>
        <v>17079.602966994076</v>
      </c>
      <c r="AE123" s="10">
        <f t="shared" si="27"/>
        <v>890.5479998789724</v>
      </c>
      <c r="AF123" s="10">
        <f>Assumptions!$E$16</f>
        <v>0.5</v>
      </c>
      <c r="AG123" s="10">
        <f t="shared" si="28"/>
        <v>261.47803375322911</v>
      </c>
      <c r="AH123" s="10">
        <f t="shared" si="35"/>
        <v>261.47803375322911</v>
      </c>
      <c r="AI123" s="10">
        <f>'PDB_woody perennials'!K602</f>
        <v>0.15258847705385931</v>
      </c>
      <c r="AJ123" s="80">
        <f>'PDB_woody perennials'!G602</f>
        <v>232.95367732799997</v>
      </c>
      <c r="AK123" s="58">
        <f>'PDB_woody perennials'!J602</f>
        <v>16189.054967115104</v>
      </c>
      <c r="AL123" s="10">
        <f>AK123-'BR_woody perennials'!AH92</f>
        <v>817.20681078778762</v>
      </c>
      <c r="AM123" s="10">
        <f>Assumptions!$E$16</f>
        <v>0.5</v>
      </c>
      <c r="AN123" s="10">
        <f t="shared" si="23"/>
        <v>228.60996160960812</v>
      </c>
      <c r="AO123" s="10">
        <f t="shared" si="29"/>
        <v>228.60996160960812</v>
      </c>
    </row>
    <row r="124" spans="1:41" x14ac:dyDescent="0.2">
      <c r="A124" s="516"/>
      <c r="B124" s="516"/>
      <c r="C124" s="516"/>
      <c r="D124" s="516"/>
      <c r="E124" s="518"/>
      <c r="F124" s="56" t="s">
        <v>317</v>
      </c>
      <c r="G124" s="10">
        <f>'PDB_woody perennials'!K1010</f>
        <v>0.18738146250000001</v>
      </c>
      <c r="H124" s="80">
        <f>'PDB_woody perennials'!G1010</f>
        <v>250</v>
      </c>
      <c r="I124" s="10">
        <f>'PDB_woody perennials'!J1010</f>
        <v>20313.833807446448</v>
      </c>
      <c r="J124" s="10">
        <f t="shared" si="31"/>
        <v>1188.8338074464482</v>
      </c>
      <c r="K124" s="10">
        <f>Assumptions!$E$16</f>
        <v>0.5</v>
      </c>
      <c r="L124" s="10">
        <f t="shared" si="36"/>
        <v>408.4032654327246</v>
      </c>
      <c r="M124" s="10">
        <f t="shared" si="37"/>
        <v>408.4032654327246</v>
      </c>
      <c r="N124" s="10">
        <f>'PDB_woody perennials'!K912</f>
        <v>0.17744399999999999</v>
      </c>
      <c r="O124" s="80">
        <f>'PDB_woody perennials'!G912</f>
        <v>246</v>
      </c>
      <c r="P124" s="10">
        <f>'PDB_woody perennials'!J912</f>
        <v>19125</v>
      </c>
      <c r="Q124" s="10">
        <f t="shared" si="32"/>
        <v>1119.2102792013429</v>
      </c>
      <c r="R124" s="10">
        <f>Assumptions!$E$16</f>
        <v>0.5</v>
      </c>
      <c r="S124" s="10">
        <f t="shared" si="24"/>
        <v>364.09477276810566</v>
      </c>
      <c r="T124" s="10">
        <f t="shared" si="33"/>
        <v>364.09477276810566</v>
      </c>
      <c r="U124" s="10">
        <f>'PDB_woody perennials'!K809</f>
        <v>0.16803337522426329</v>
      </c>
      <c r="V124" s="80">
        <f>'PDB_woody perennials'!G809</f>
        <v>241.08099999999999</v>
      </c>
      <c r="W124" s="58">
        <f>'PDB_woody perennials'!J809</f>
        <v>18005.789720798657</v>
      </c>
      <c r="X124" s="10">
        <f t="shared" si="25"/>
        <v>1053.7362560874208</v>
      </c>
      <c r="Y124" s="10">
        <f>Assumptions!$E$16</f>
        <v>0.5</v>
      </c>
      <c r="Z124" s="10">
        <f t="shared" si="26"/>
        <v>324.61524279533791</v>
      </c>
      <c r="AA124" s="10">
        <f t="shared" si="34"/>
        <v>324.61524279533791</v>
      </c>
      <c r="AB124" s="10">
        <f>'PDB_woody perennials'!K706</f>
        <v>0.1591219214322267</v>
      </c>
      <c r="AC124" s="80">
        <f>'PDB_woody perennials'!G706</f>
        <v>236.74154199999998</v>
      </c>
      <c r="AD124" s="58">
        <f>'PDB_woody perennials'!J706</f>
        <v>16952.053464711236</v>
      </c>
      <c r="AE124" s="10">
        <f t="shared" si="27"/>
        <v>883.89743813206951</v>
      </c>
      <c r="AF124" s="10">
        <f>Assumptions!$E$16</f>
        <v>0.5</v>
      </c>
      <c r="AG124" s="10">
        <f t="shared" si="28"/>
        <v>257.85367429176227</v>
      </c>
      <c r="AH124" s="10">
        <f t="shared" si="35"/>
        <v>257.85367429176227</v>
      </c>
      <c r="AI124" s="10">
        <f>'PDB_woody perennials'!K603</f>
        <v>0.1516056230757496</v>
      </c>
      <c r="AJ124" s="80">
        <f>'PDB_woody perennials'!G603</f>
        <v>232.95367732799997</v>
      </c>
      <c r="AK124" s="58">
        <f>'PDB_woody perennials'!J603</f>
        <v>16068.156026579167</v>
      </c>
      <c r="AL124" s="10">
        <f>AK124-'BR_woody perennials'!AH93</f>
        <v>811.10395686439551</v>
      </c>
      <c r="AM124" s="10">
        <f>Assumptions!$E$16</f>
        <v>0.5</v>
      </c>
      <c r="AN124" s="10">
        <f t="shared" si="23"/>
        <v>225.44118805932644</v>
      </c>
      <c r="AO124" s="10">
        <f t="shared" si="29"/>
        <v>225.44118805932644</v>
      </c>
    </row>
    <row r="125" spans="1:41" x14ac:dyDescent="0.2">
      <c r="A125" s="516"/>
      <c r="B125" s="516"/>
      <c r="C125" s="516"/>
      <c r="D125" s="516"/>
      <c r="E125" s="518"/>
      <c r="F125" s="56" t="s">
        <v>172</v>
      </c>
      <c r="G125" s="10">
        <f>'PDB_woody perennials'!K1011</f>
        <v>0.14301287000000001</v>
      </c>
      <c r="H125" s="80">
        <f>'PDB_woody perennials'!G1011</f>
        <v>550</v>
      </c>
      <c r="I125" s="10">
        <f>'PDB_woody perennials'!J1011</f>
        <v>13088.097563812782</v>
      </c>
      <c r="J125" s="10">
        <f t="shared" si="31"/>
        <v>765.8975638127813</v>
      </c>
      <c r="K125" s="10">
        <f>Assumptions!$E$16</f>
        <v>0.5</v>
      </c>
      <c r="L125" s="10">
        <f t="shared" si="36"/>
        <v>200.81088266593568</v>
      </c>
      <c r="M125" s="10">
        <f t="shared" si="37"/>
        <v>200.81088266593568</v>
      </c>
      <c r="N125" s="10">
        <f>'PDB_woody perennials'!K913</f>
        <v>0.13542799999999999</v>
      </c>
      <c r="O125" s="80">
        <f>'PDB_woody perennials'!G913</f>
        <v>540</v>
      </c>
      <c r="P125" s="10">
        <f>'PDB_woody perennials'!J913</f>
        <v>12322.2</v>
      </c>
      <c r="Q125" s="10">
        <f t="shared" si="32"/>
        <v>721.16324774871646</v>
      </c>
      <c r="R125" s="10">
        <f>Assumptions!$E$16</f>
        <v>0.5</v>
      </c>
      <c r="S125" s="10">
        <f t="shared" si="24"/>
        <v>179.05377657954079</v>
      </c>
      <c r="T125" s="10">
        <f t="shared" si="33"/>
        <v>179.05377657954079</v>
      </c>
      <c r="U125" s="10">
        <f>'PDB_woody perennials'!K810</f>
        <v>0.12824606514429776</v>
      </c>
      <c r="V125" s="80">
        <f>'PDB_woody perennials'!G810</f>
        <v>530.37819999999999</v>
      </c>
      <c r="W125" s="58">
        <f>'PDB_woody perennials'!J810</f>
        <v>11601.036752251284</v>
      </c>
      <c r="X125" s="10">
        <f t="shared" si="25"/>
        <v>678.91679418699459</v>
      </c>
      <c r="Y125" s="10">
        <f>Assumptions!$E$16</f>
        <v>0.5</v>
      </c>
      <c r="Z125" s="10">
        <f t="shared" si="26"/>
        <v>159.62541359391568</v>
      </c>
      <c r="AA125" s="10">
        <f t="shared" si="34"/>
        <v>159.62541359391568</v>
      </c>
      <c r="AB125" s="10">
        <f>'PDB_woody perennials'!K707</f>
        <v>0.12144468487077403</v>
      </c>
      <c r="AC125" s="80">
        <f>'PDB_woody perennials'!G707</f>
        <v>520.83139240000003</v>
      </c>
      <c r="AD125" s="58">
        <f>'PDB_woody perennials'!J707</f>
        <v>10922.11995806429</v>
      </c>
      <c r="AE125" s="10">
        <f t="shared" si="27"/>
        <v>569.49052632479652</v>
      </c>
      <c r="AF125" s="10">
        <f>Assumptions!$E$16</f>
        <v>0.5</v>
      </c>
      <c r="AG125" s="10">
        <f t="shared" si="28"/>
        <v>126.79626209507795</v>
      </c>
      <c r="AH125" s="10">
        <f t="shared" si="35"/>
        <v>126.79626209507795</v>
      </c>
      <c r="AI125" s="10">
        <f>'PDB_woody perennials'!K604</f>
        <v>0.11570811207752839</v>
      </c>
      <c r="AJ125" s="80">
        <f>'PDB_woody perennials'!G604</f>
        <v>512.49809012160006</v>
      </c>
      <c r="AK125" s="58">
        <f>'PDB_woody perennials'!J604</f>
        <v>10352.629431739493</v>
      </c>
      <c r="AL125" s="10">
        <f>AK125-'BR_woody perennials'!AH94</f>
        <v>522.59006460631826</v>
      </c>
      <c r="AM125" s="10">
        <f>Assumptions!$E$16</f>
        <v>0.5</v>
      </c>
      <c r="AN125" s="10">
        <f t="shared" si="23"/>
        <v>110.85783457112957</v>
      </c>
      <c r="AO125" s="10">
        <f t="shared" si="29"/>
        <v>110.85783457112957</v>
      </c>
    </row>
    <row r="126" spans="1:41" x14ac:dyDescent="0.2">
      <c r="A126" s="516"/>
      <c r="B126" s="516"/>
      <c r="C126" s="516"/>
      <c r="D126" s="516"/>
      <c r="E126" s="518"/>
      <c r="F126" s="56" t="s">
        <v>318</v>
      </c>
      <c r="G126" s="10">
        <f>'PDB_woody perennials'!K1012</f>
        <v>0.11910412500000002</v>
      </c>
      <c r="H126" s="80">
        <f>'PDB_woody perennials'!G1012</f>
        <v>525</v>
      </c>
      <c r="I126" s="10">
        <f>'PDB_woody perennials'!J1012</f>
        <v>10664.709133802216</v>
      </c>
      <c r="J126" s="10">
        <f t="shared" si="31"/>
        <v>624.10913380221609</v>
      </c>
      <c r="K126" s="10">
        <f>Assumptions!$E$16</f>
        <v>0.5</v>
      </c>
      <c r="L126" s="10">
        <f t="shared" si="36"/>
        <v>136.27894919103827</v>
      </c>
      <c r="M126" s="10">
        <f t="shared" si="37"/>
        <v>136.27894919103827</v>
      </c>
      <c r="N126" s="10">
        <f>'PDB_woody perennials'!K914</f>
        <v>0.112788</v>
      </c>
      <c r="O126" s="80">
        <f>'PDB_woody perennials'!G914</f>
        <v>516</v>
      </c>
      <c r="P126" s="10">
        <f>'PDB_woody perennials'!J914</f>
        <v>10040.6</v>
      </c>
      <c r="Q126" s="10">
        <f t="shared" si="32"/>
        <v>587.60791997558772</v>
      </c>
      <c r="R126" s="10">
        <f>Assumptions!$E$16</f>
        <v>0.5</v>
      </c>
      <c r="S126" s="10">
        <f t="shared" si="24"/>
        <v>121.50439047671209</v>
      </c>
      <c r="T126" s="10">
        <f t="shared" si="33"/>
        <v>121.50439047671209</v>
      </c>
      <c r="U126" s="10">
        <f>'PDB_woody perennials'!K811</f>
        <v>0.10680601944219832</v>
      </c>
      <c r="V126" s="80">
        <f>'PDB_woody perennials'!G811</f>
        <v>506.27009999999996</v>
      </c>
      <c r="W126" s="58">
        <f>'PDB_woody perennials'!J811</f>
        <v>9452.9920800244126</v>
      </c>
      <c r="X126" s="10">
        <f t="shared" si="25"/>
        <v>553.20875327800422</v>
      </c>
      <c r="Y126" s="10">
        <f>Assumptions!$E$16</f>
        <v>0.5</v>
      </c>
      <c r="Z126" s="10">
        <f t="shared" si="26"/>
        <v>108.32437890670883</v>
      </c>
      <c r="AA126" s="10">
        <f t="shared" si="34"/>
        <v>108.32437890670883</v>
      </c>
      <c r="AB126" s="10">
        <f>'PDB_woody perennials'!K708</f>
        <v>0.10114168695051204</v>
      </c>
      <c r="AC126" s="80">
        <f>'PDB_woody perennials'!G708</f>
        <v>497.15723819999994</v>
      </c>
      <c r="AD126" s="58">
        <f>'PDB_woody perennials'!J708</f>
        <v>8899.7833267464084</v>
      </c>
      <c r="AE126" s="10">
        <f t="shared" si="27"/>
        <v>464.04382211379198</v>
      </c>
      <c r="AF126" s="10">
        <f>Assumptions!$E$16</f>
        <v>0.5</v>
      </c>
      <c r="AG126" s="10">
        <f t="shared" si="28"/>
        <v>86.045987477179111</v>
      </c>
      <c r="AH126" s="10">
        <f t="shared" si="35"/>
        <v>86.045987477179111</v>
      </c>
      <c r="AI126" s="10">
        <f>'PDB_woody perennials'!K605</f>
        <v>9.6364148516115702E-2</v>
      </c>
      <c r="AJ126" s="80">
        <f>'PDB_woody perennials'!G605</f>
        <v>489.20272238879994</v>
      </c>
      <c r="AK126" s="58">
        <f>'PDB_woody perennials'!J605</f>
        <v>8435.7395046326164</v>
      </c>
      <c r="AL126" s="10">
        <f>AK126-'BR_woody perennials'!AH95</f>
        <v>425.82743657495121</v>
      </c>
      <c r="AM126" s="10">
        <f>Assumptions!$E$16</f>
        <v>0.5</v>
      </c>
      <c r="AN126" s="10">
        <f t="shared" si="23"/>
        <v>75.229913623966638</v>
      </c>
      <c r="AO126" s="10">
        <f t="shared" si="29"/>
        <v>75.229913623966638</v>
      </c>
    </row>
    <row r="127" spans="1:41" x14ac:dyDescent="0.2">
      <c r="A127" s="516"/>
      <c r="B127" s="516"/>
      <c r="C127" s="516"/>
      <c r="D127" s="516"/>
      <c r="E127" s="518"/>
      <c r="F127" s="56" t="s">
        <v>319</v>
      </c>
      <c r="G127" s="10">
        <f>'PDB_woody perennials'!K1013</f>
        <v>0.13847400000000001</v>
      </c>
      <c r="H127" s="80">
        <f>'PDB_woody perennials'!G1013</f>
        <v>225</v>
      </c>
      <c r="I127" s="10">
        <f>'PDB_woody perennials'!J1013</f>
        <v>14545.791729833201</v>
      </c>
      <c r="J127" s="10">
        <f t="shared" si="31"/>
        <v>851.29172983320132</v>
      </c>
      <c r="K127" s="10">
        <f>Assumptions!$E$16</f>
        <v>0.5</v>
      </c>
      <c r="L127" s="10">
        <f t="shared" si="36"/>
        <v>216.11658016102501</v>
      </c>
      <c r="M127" s="10">
        <f t="shared" si="37"/>
        <v>216.11658016102501</v>
      </c>
      <c r="N127" s="10">
        <f>'PDB_woody perennials'!K915</f>
        <v>0.13113</v>
      </c>
      <c r="O127" s="80">
        <f>'PDB_woody perennials'!G915</f>
        <v>221</v>
      </c>
      <c r="P127" s="10">
        <f>'PDB_woody perennials'!J915</f>
        <v>13694.5</v>
      </c>
      <c r="Q127" s="10">
        <f t="shared" si="32"/>
        <v>801.39130902009856</v>
      </c>
      <c r="R127" s="10">
        <f>Assumptions!$E$16</f>
        <v>0.5</v>
      </c>
      <c r="S127" s="10">
        <f t="shared" si="24"/>
        <v>192.65847764497678</v>
      </c>
      <c r="T127" s="10">
        <f t="shared" si="33"/>
        <v>192.65847764497678</v>
      </c>
      <c r="U127" s="10">
        <f>'PDB_woody perennials'!K812</f>
        <v>0.12417585651411293</v>
      </c>
      <c r="V127" s="80">
        <f>'PDB_woody perennials'!G812</f>
        <v>216.97289999999998</v>
      </c>
      <c r="W127" s="58">
        <f>'PDB_woody perennials'!J812</f>
        <v>12893.108690979901</v>
      </c>
      <c r="X127" s="10">
        <f t="shared" si="25"/>
        <v>754.53153080356424</v>
      </c>
      <c r="Y127" s="10">
        <f>Assumptions!$E$16</f>
        <v>0.5</v>
      </c>
      <c r="Z127" s="10">
        <f t="shared" si="26"/>
        <v>171.77343169146852</v>
      </c>
      <c r="AA127" s="10">
        <f t="shared" si="34"/>
        <v>171.77343169146852</v>
      </c>
      <c r="AB127" s="10">
        <f>'PDB_woody perennials'!K709</f>
        <v>0.11759033500128735</v>
      </c>
      <c r="AC127" s="80">
        <f>'PDB_woody perennials'!G709</f>
        <v>213.06738779999998</v>
      </c>
      <c r="AD127" s="58">
        <f>'PDB_woody perennials'!J709</f>
        <v>12138.577160176337</v>
      </c>
      <c r="AE127" s="10">
        <f t="shared" si="27"/>
        <v>632.91785132601399</v>
      </c>
      <c r="AF127" s="10">
        <f>Assumptions!$E$16</f>
        <v>0.5</v>
      </c>
      <c r="AG127" s="10">
        <f t="shared" si="28"/>
        <v>136.44587397048844</v>
      </c>
      <c r="AH127" s="10">
        <f t="shared" si="35"/>
        <v>136.44587397048844</v>
      </c>
      <c r="AI127" s="10">
        <f>'PDB_woody perennials'!K606</f>
        <v>0.11203582664849437</v>
      </c>
      <c r="AJ127" s="80">
        <f>'PDB_woody perennials'!G606</f>
        <v>209.65830959519997</v>
      </c>
      <c r="AK127" s="58">
        <f>'PDB_woody perennials'!J606</f>
        <v>11505.659308850323</v>
      </c>
      <c r="AL127" s="10">
        <f>AK127-'BR_woody perennials'!AH96</f>
        <v>580.79382452502978</v>
      </c>
      <c r="AM127" s="10">
        <f>Assumptions!$E$16</f>
        <v>0.5</v>
      </c>
      <c r="AN127" s="10">
        <f t="shared" si="23"/>
        <v>119.29447977883753</v>
      </c>
      <c r="AO127" s="10">
        <f t="shared" si="29"/>
        <v>119.29447977883753</v>
      </c>
    </row>
    <row r="128" spans="1:41" x14ac:dyDescent="0.2">
      <c r="A128" s="516"/>
      <c r="B128" s="516"/>
      <c r="C128" s="516"/>
      <c r="D128" s="516"/>
      <c r="E128" s="518"/>
      <c r="F128" s="56" t="s">
        <v>320</v>
      </c>
      <c r="G128" s="10">
        <f>'PDB_woody perennials'!K1014</f>
        <v>3.7719250000000003E-2</v>
      </c>
      <c r="H128" s="80">
        <f>'PDB_woody perennials'!G1014</f>
        <v>50</v>
      </c>
      <c r="I128" s="10">
        <f>'PDB_woody perennials'!J1014</f>
        <v>4093.3355583254793</v>
      </c>
      <c r="J128" s="10">
        <f t="shared" si="31"/>
        <v>239.53555832547909</v>
      </c>
      <c r="K128" s="10">
        <f>Assumptions!$E$16</f>
        <v>0.5</v>
      </c>
      <c r="L128" s="10">
        <f t="shared" si="36"/>
        <v>16.564352948675268</v>
      </c>
      <c r="M128" s="10">
        <f t="shared" si="37"/>
        <v>16.564352948675268</v>
      </c>
      <c r="N128" s="10">
        <f>'PDB_woody perennials'!K916</f>
        <v>3.5719000000000001E-2</v>
      </c>
      <c r="O128" s="80">
        <f>'PDB_woody perennials'!G916</f>
        <v>49</v>
      </c>
      <c r="P128" s="10">
        <f>'PDB_woody perennials'!J916</f>
        <v>3853.8</v>
      </c>
      <c r="Q128" s="10">
        <f t="shared" si="32"/>
        <v>225.54646506858808</v>
      </c>
      <c r="R128" s="10">
        <f>Assumptions!$E$16</f>
        <v>0.5</v>
      </c>
      <c r="S128" s="10">
        <f t="shared" ref="S128:S139" si="38">N128*Q128*R128*44/12</f>
        <v>14.769872673938979</v>
      </c>
      <c r="T128" s="10">
        <f t="shared" si="33"/>
        <v>14.769872673938979</v>
      </c>
      <c r="U128" s="10">
        <f>'PDB_woody perennials'!K813</f>
        <v>3.3824545949564223E-2</v>
      </c>
      <c r="V128" s="80">
        <f>'PDB_woody perennials'!G813</f>
        <v>48.216200000000001</v>
      </c>
      <c r="W128" s="58">
        <f>'PDB_woody perennials'!J813</f>
        <v>3628.2535349314121</v>
      </c>
      <c r="X128" s="10">
        <f t="shared" si="25"/>
        <v>212.33294153259612</v>
      </c>
      <c r="Y128" s="10">
        <f>Assumptions!$E$16</f>
        <v>0.5</v>
      </c>
      <c r="Z128" s="10">
        <f t="shared" si="26"/>
        <v>13.167119785371625</v>
      </c>
      <c r="AA128" s="10">
        <f t="shared" si="34"/>
        <v>13.167119785371625</v>
      </c>
      <c r="AB128" s="10">
        <f>'PDB_woody perennials'!K710</f>
        <v>3.2030700662198756E-2</v>
      </c>
      <c r="AC128" s="80">
        <f>'PDB_woody perennials'!G710</f>
        <v>47.348308400000001</v>
      </c>
      <c r="AD128" s="58">
        <f>'PDB_woody perennials'!J710</f>
        <v>3415.920593398816</v>
      </c>
      <c r="AE128" s="10">
        <f t="shared" si="27"/>
        <v>178.10959997579494</v>
      </c>
      <c r="AF128" s="10">
        <f>Assumptions!$E$16</f>
        <v>0.5</v>
      </c>
      <c r="AG128" s="10">
        <f t="shared" ref="AG128:AG139" si="39">AB128*AE128*AF128*44/12</f>
        <v>10.459121350129193</v>
      </c>
      <c r="AH128" s="10">
        <f t="shared" si="35"/>
        <v>10.459121350129193</v>
      </c>
      <c r="AI128" s="10">
        <f>'PDB_woody perennials'!K607</f>
        <v>3.0517695410771865E-2</v>
      </c>
      <c r="AJ128" s="80">
        <f>'PDB_woody perennials'!G607</f>
        <v>46.590735465599998</v>
      </c>
      <c r="AK128" s="58">
        <f>'PDB_woody perennials'!J607</f>
        <v>3237.810993423021</v>
      </c>
      <c r="AL128" s="10">
        <f>AK128-'BR_woody perennials'!AH97</f>
        <v>163.44136215755771</v>
      </c>
      <c r="AM128" s="10">
        <f>Assumptions!$E$16</f>
        <v>0.5</v>
      </c>
      <c r="AN128" s="10">
        <f t="shared" si="23"/>
        <v>9.1443984643843343</v>
      </c>
      <c r="AO128" s="10">
        <f t="shared" si="29"/>
        <v>9.1443984643843343</v>
      </c>
    </row>
    <row r="129" spans="1:41" ht="28" x14ac:dyDescent="0.2">
      <c r="A129" s="74" t="s">
        <v>27</v>
      </c>
      <c r="B129" s="74"/>
      <c r="C129" s="74"/>
      <c r="D129" s="74" t="s">
        <v>37</v>
      </c>
      <c r="E129" s="485">
        <f>Assumptions!D79</f>
        <v>7884.7310000000007</v>
      </c>
      <c r="F129" s="56" t="s">
        <v>92</v>
      </c>
      <c r="G129" s="10">
        <f>'PDB_woody perennials'!K1015</f>
        <v>0</v>
      </c>
      <c r="H129" s="80">
        <f>'PDB_woody perennials'!G1015</f>
        <v>0</v>
      </c>
      <c r="I129" s="10">
        <f>'PDB_woody perennials'!J1015</f>
        <v>0</v>
      </c>
      <c r="J129" s="10">
        <f t="shared" si="31"/>
        <v>0</v>
      </c>
      <c r="K129" s="10">
        <f>Assumptions!$E$16</f>
        <v>0.5</v>
      </c>
      <c r="L129" s="10">
        <f t="shared" si="36"/>
        <v>0</v>
      </c>
      <c r="M129" s="10">
        <f t="shared" si="37"/>
        <v>0</v>
      </c>
      <c r="N129" s="10">
        <f>'PDB_woody perennials'!K917</f>
        <v>0</v>
      </c>
      <c r="O129" s="80">
        <f>'PDB_woody perennials'!G917</f>
        <v>0</v>
      </c>
      <c r="P129" s="10">
        <f>'PDB_woody perennials'!J917</f>
        <v>0</v>
      </c>
      <c r="Q129" s="10">
        <f t="shared" si="32"/>
        <v>0</v>
      </c>
      <c r="R129" s="10">
        <f>Assumptions!$E$16</f>
        <v>0.5</v>
      </c>
      <c r="S129" s="10">
        <f t="shared" si="38"/>
        <v>0</v>
      </c>
      <c r="T129" s="10">
        <f t="shared" si="33"/>
        <v>0</v>
      </c>
      <c r="U129" s="10">
        <f>'PDB_woody perennials'!K814</f>
        <v>0</v>
      </c>
      <c r="V129" s="80">
        <f>'PDB_woody perennials'!G814</f>
        <v>0</v>
      </c>
      <c r="W129" s="58">
        <f>'PDB_woody perennials'!J814</f>
        <v>0</v>
      </c>
      <c r="X129" s="10">
        <f t="shared" si="25"/>
        <v>0</v>
      </c>
      <c r="Y129" s="10">
        <f>Assumptions!$E$16</f>
        <v>0.5</v>
      </c>
      <c r="Z129" s="10">
        <f t="shared" si="26"/>
        <v>0</v>
      </c>
      <c r="AA129" s="10">
        <f t="shared" si="34"/>
        <v>0</v>
      </c>
      <c r="AB129" s="10">
        <f>'PDB_woody perennials'!K711</f>
        <v>0</v>
      </c>
      <c r="AC129" s="80">
        <f>'PDB_woody perennials'!G711</f>
        <v>0</v>
      </c>
      <c r="AD129" s="58">
        <f>'PDB_woody perennials'!J711</f>
        <v>0</v>
      </c>
      <c r="AE129" s="10">
        <f t="shared" si="27"/>
        <v>0</v>
      </c>
      <c r="AF129" s="10">
        <f>Assumptions!$E$16</f>
        <v>0.5</v>
      </c>
      <c r="AG129" s="10">
        <f t="shared" si="39"/>
        <v>0</v>
      </c>
      <c r="AH129" s="10">
        <f t="shared" si="35"/>
        <v>0</v>
      </c>
      <c r="AI129" s="10">
        <f>'PDB_woody perennials'!K608</f>
        <v>0</v>
      </c>
      <c r="AJ129" s="80">
        <f>'PDB_woody perennials'!G608</f>
        <v>0</v>
      </c>
      <c r="AK129" s="58">
        <f>'PDB_woody perennials'!J608</f>
        <v>0</v>
      </c>
      <c r="AL129" s="10">
        <f>AK129-'BR_woody perennials'!AH98</f>
        <v>0</v>
      </c>
      <c r="AM129" s="10">
        <f>Assumptions!$E$16</f>
        <v>0.5</v>
      </c>
      <c r="AN129" s="10">
        <f t="shared" si="23"/>
        <v>0</v>
      </c>
      <c r="AO129" s="10">
        <f t="shared" si="29"/>
        <v>0</v>
      </c>
    </row>
    <row r="130" spans="1:41" x14ac:dyDescent="0.2">
      <c r="A130" s="74" t="s">
        <v>28</v>
      </c>
      <c r="B130" s="74"/>
      <c r="C130" s="74"/>
      <c r="D130" s="74" t="s">
        <v>36</v>
      </c>
      <c r="E130" s="485">
        <f>Assumptions!D80</f>
        <v>2195.1750000000002</v>
      </c>
      <c r="F130" s="56" t="s">
        <v>323</v>
      </c>
      <c r="G130" s="10">
        <f>'PDB_woody perennials'!K1016</f>
        <v>0</v>
      </c>
      <c r="H130" s="80">
        <f>'PDB_woody perennials'!G1016</f>
        <v>0</v>
      </c>
      <c r="I130" s="10">
        <f>'PDB_woody perennials'!J1016</f>
        <v>0</v>
      </c>
      <c r="J130" s="10">
        <f t="shared" si="31"/>
        <v>0</v>
      </c>
      <c r="K130" s="10">
        <f>Assumptions!$E$16</f>
        <v>0.5</v>
      </c>
      <c r="L130" s="10">
        <f t="shared" si="36"/>
        <v>0</v>
      </c>
      <c r="M130" s="10">
        <f t="shared" si="37"/>
        <v>0</v>
      </c>
      <c r="N130" s="10">
        <f>'PDB_woody perennials'!K918</f>
        <v>0</v>
      </c>
      <c r="O130" s="80">
        <f>'PDB_woody perennials'!G918</f>
        <v>0</v>
      </c>
      <c r="P130" s="10">
        <f>'PDB_woody perennials'!J918</f>
        <v>0</v>
      </c>
      <c r="Q130" s="10">
        <f t="shared" si="32"/>
        <v>0</v>
      </c>
      <c r="R130" s="10">
        <f>Assumptions!$E$16</f>
        <v>0.5</v>
      </c>
      <c r="S130" s="10">
        <f t="shared" si="38"/>
        <v>0</v>
      </c>
      <c r="T130" s="10">
        <f t="shared" si="33"/>
        <v>0</v>
      </c>
      <c r="U130" s="10">
        <f>'PDB_woody perennials'!K815</f>
        <v>0</v>
      </c>
      <c r="V130" s="80">
        <f>'PDB_woody perennials'!G815</f>
        <v>0</v>
      </c>
      <c r="W130" s="58">
        <f>'PDB_woody perennials'!J815</f>
        <v>0</v>
      </c>
      <c r="X130" s="10">
        <f t="shared" si="25"/>
        <v>0</v>
      </c>
      <c r="Y130" s="10">
        <f>Assumptions!$E$16</f>
        <v>0.5</v>
      </c>
      <c r="Z130" s="10">
        <f t="shared" si="26"/>
        <v>0</v>
      </c>
      <c r="AA130" s="10">
        <f t="shared" si="34"/>
        <v>0</v>
      </c>
      <c r="AB130" s="10">
        <f>'PDB_woody perennials'!K712</f>
        <v>0</v>
      </c>
      <c r="AC130" s="80">
        <f>'PDB_woody perennials'!G712</f>
        <v>0</v>
      </c>
      <c r="AD130" s="58">
        <f>'PDB_woody perennials'!J712</f>
        <v>0</v>
      </c>
      <c r="AE130" s="10">
        <f t="shared" si="27"/>
        <v>0</v>
      </c>
      <c r="AF130" s="10">
        <f>Assumptions!$E$16</f>
        <v>0.5</v>
      </c>
      <c r="AG130" s="10">
        <f t="shared" si="39"/>
        <v>0</v>
      </c>
      <c r="AH130" s="10">
        <f t="shared" si="35"/>
        <v>0</v>
      </c>
      <c r="AI130" s="10">
        <f>'PDB_woody perennials'!K609</f>
        <v>0</v>
      </c>
      <c r="AJ130" s="80">
        <f>'PDB_woody perennials'!G609</f>
        <v>0</v>
      </c>
      <c r="AK130" s="58">
        <f>'PDB_woody perennials'!J609</f>
        <v>0</v>
      </c>
      <c r="AL130" s="10">
        <f>AK130-'BR_woody perennials'!AH99</f>
        <v>0</v>
      </c>
      <c r="AM130" s="10">
        <f>Assumptions!$E$16</f>
        <v>0.5</v>
      </c>
      <c r="AN130" s="10">
        <f t="shared" si="23"/>
        <v>0</v>
      </c>
      <c r="AO130" s="10">
        <f t="shared" si="29"/>
        <v>0</v>
      </c>
    </row>
    <row r="131" spans="1:41" ht="28" x14ac:dyDescent="0.2">
      <c r="A131" s="74" t="s">
        <v>29</v>
      </c>
      <c r="B131" s="74"/>
      <c r="C131" s="74"/>
      <c r="D131" s="74" t="s">
        <v>37</v>
      </c>
      <c r="E131" s="485">
        <f>Assumptions!D81</f>
        <v>454.25200000000001</v>
      </c>
      <c r="F131" s="56" t="s">
        <v>323</v>
      </c>
      <c r="G131" s="10">
        <f>'PDB_woody perennials'!K1017</f>
        <v>0</v>
      </c>
      <c r="H131" s="80">
        <f>'PDB_woody perennials'!G1017</f>
        <v>0</v>
      </c>
      <c r="I131" s="10">
        <f>'PDB_woody perennials'!J1017</f>
        <v>0</v>
      </c>
      <c r="J131" s="10">
        <f t="shared" si="31"/>
        <v>0</v>
      </c>
      <c r="K131" s="10">
        <f>Assumptions!$E$16</f>
        <v>0.5</v>
      </c>
      <c r="L131" s="10">
        <f t="shared" si="36"/>
        <v>0</v>
      </c>
      <c r="M131" s="10">
        <f t="shared" si="37"/>
        <v>0</v>
      </c>
      <c r="N131" s="10">
        <f>'PDB_woody perennials'!K919</f>
        <v>0</v>
      </c>
      <c r="O131" s="80">
        <f>'PDB_woody perennials'!G919</f>
        <v>0</v>
      </c>
      <c r="P131" s="10">
        <f>'PDB_woody perennials'!J919</f>
        <v>0</v>
      </c>
      <c r="Q131" s="10">
        <f t="shared" si="32"/>
        <v>0</v>
      </c>
      <c r="R131" s="10">
        <f>Assumptions!$E$16</f>
        <v>0.5</v>
      </c>
      <c r="S131" s="10">
        <f t="shared" si="38"/>
        <v>0</v>
      </c>
      <c r="T131" s="10">
        <f t="shared" si="33"/>
        <v>0</v>
      </c>
      <c r="U131" s="10">
        <f>'PDB_woody perennials'!K816</f>
        <v>0</v>
      </c>
      <c r="V131" s="80">
        <f>'PDB_woody perennials'!G816</f>
        <v>0</v>
      </c>
      <c r="W131" s="58">
        <f>'PDB_woody perennials'!J816</f>
        <v>0</v>
      </c>
      <c r="X131" s="10">
        <f t="shared" si="25"/>
        <v>0</v>
      </c>
      <c r="Y131" s="10">
        <f>Assumptions!$E$16</f>
        <v>0.5</v>
      </c>
      <c r="Z131" s="10">
        <f t="shared" si="26"/>
        <v>0</v>
      </c>
      <c r="AA131" s="10">
        <f t="shared" si="34"/>
        <v>0</v>
      </c>
      <c r="AB131" s="10">
        <f>'PDB_woody perennials'!K713</f>
        <v>0</v>
      </c>
      <c r="AC131" s="80">
        <f>'PDB_woody perennials'!G713</f>
        <v>0</v>
      </c>
      <c r="AD131" s="58">
        <f>'PDB_woody perennials'!J713</f>
        <v>0</v>
      </c>
      <c r="AE131" s="10">
        <f t="shared" si="27"/>
        <v>0</v>
      </c>
      <c r="AF131" s="10">
        <f>Assumptions!$E$16</f>
        <v>0.5</v>
      </c>
      <c r="AG131" s="10">
        <f t="shared" si="39"/>
        <v>0</v>
      </c>
      <c r="AH131" s="10">
        <f t="shared" si="35"/>
        <v>0</v>
      </c>
      <c r="AI131" s="10">
        <f>'PDB_woody perennials'!K610</f>
        <v>0</v>
      </c>
      <c r="AJ131" s="80">
        <f>'PDB_woody perennials'!G610</f>
        <v>0</v>
      </c>
      <c r="AK131" s="58">
        <f>'PDB_woody perennials'!J610</f>
        <v>0</v>
      </c>
      <c r="AL131" s="10">
        <f>AK131-'BR_woody perennials'!AH100</f>
        <v>0</v>
      </c>
      <c r="AM131" s="10">
        <f>Assumptions!$E$16</f>
        <v>0.5</v>
      </c>
      <c r="AN131" s="10">
        <f t="shared" si="23"/>
        <v>0</v>
      </c>
      <c r="AO131" s="10">
        <f t="shared" si="29"/>
        <v>0</v>
      </c>
    </row>
    <row r="132" spans="1:41" ht="14.5" customHeight="1" x14ac:dyDescent="0.2">
      <c r="A132" s="590" t="s">
        <v>30</v>
      </c>
      <c r="B132" s="590"/>
      <c r="C132" s="590"/>
      <c r="D132" s="590" t="s">
        <v>35</v>
      </c>
      <c r="E132" s="591">
        <f>Assumptions!D82</f>
        <v>18064.454000000005</v>
      </c>
      <c r="F132" s="55" t="s">
        <v>170</v>
      </c>
      <c r="G132" s="10">
        <v>0</v>
      </c>
      <c r="H132" s="80">
        <v>0</v>
      </c>
      <c r="I132" s="10">
        <v>0</v>
      </c>
      <c r="J132" s="10">
        <f t="shared" si="31"/>
        <v>-170.7</v>
      </c>
      <c r="K132" s="10">
        <f>Assumptions!$E$16</f>
        <v>0.5</v>
      </c>
      <c r="L132" s="10">
        <f t="shared" si="36"/>
        <v>0</v>
      </c>
      <c r="M132" s="10">
        <f t="shared" si="37"/>
        <v>0</v>
      </c>
      <c r="N132" s="10">
        <f>'PDB_woody perennials'!K927</f>
        <v>2.676E-3</v>
      </c>
      <c r="O132" s="80">
        <f>'PDB_woody perennials'!G927</f>
        <v>98</v>
      </c>
      <c r="P132" s="10">
        <f>'PDB_woody perennials'!J927</f>
        <v>170.7</v>
      </c>
      <c r="Q132" s="10">
        <f t="shared" si="32"/>
        <v>9.9764953196603585</v>
      </c>
      <c r="R132" s="10">
        <f>Assumptions!$E$16</f>
        <v>0.5</v>
      </c>
      <c r="S132" s="10">
        <f t="shared" si="38"/>
        <v>4.8944686038253721E-2</v>
      </c>
      <c r="T132" s="10">
        <f t="shared" si="33"/>
        <v>4.8944686038253721E-2</v>
      </c>
      <c r="U132" s="10">
        <f>'PDB_woody perennials'!K824</f>
        <v>2.5342011533492437E-3</v>
      </c>
      <c r="V132" s="80">
        <f>'PDB_woody perennials'!G824</f>
        <v>96.432400000000001</v>
      </c>
      <c r="W132" s="58">
        <f>'PDB_woody perennials'!J824</f>
        <v>160.72350468033963</v>
      </c>
      <c r="X132" s="10">
        <f t="shared" si="25"/>
        <v>9.405873705804737</v>
      </c>
      <c r="Y132" s="10">
        <f>Assumptions!$E$16</f>
        <v>0.5</v>
      </c>
      <c r="Z132" s="10">
        <f t="shared" si="26"/>
        <v>4.3700022654764102E-2</v>
      </c>
      <c r="AA132" s="10">
        <f t="shared" si="34"/>
        <v>4.3700022654764102E-2</v>
      </c>
      <c r="AB132" s="10">
        <f>'PDB_woody perennials'!K721</f>
        <v>2.399802755128314E-3</v>
      </c>
      <c r="AC132" s="80">
        <f>'PDB_woody perennials'!G721</f>
        <v>94.696616800000001</v>
      </c>
      <c r="AD132" s="58">
        <f>'PDB_woody perennials'!J721</f>
        <v>151.31763097453489</v>
      </c>
      <c r="AE132" s="10">
        <f t="shared" si="27"/>
        <v>7.8898563316257366</v>
      </c>
      <c r="AF132" s="10">
        <f>Assumptions!$E$16</f>
        <v>0.5</v>
      </c>
      <c r="AG132" s="10">
        <f t="shared" si="39"/>
        <v>3.4712514764037028E-2</v>
      </c>
      <c r="AH132" s="10">
        <f t="shared" si="35"/>
        <v>3.4712514764037028E-2</v>
      </c>
      <c r="AI132" s="10">
        <f>'PDB_woody perennials'!K618</f>
        <v>2.2864454418060082E-3</v>
      </c>
      <c r="AJ132" s="80">
        <f>'PDB_woody perennials'!G618</f>
        <v>93.181470931199996</v>
      </c>
      <c r="AK132" s="58">
        <f>'PDB_woody perennials'!J618</f>
        <v>143.42777464290916</v>
      </c>
      <c r="AL132" s="10">
        <f>AK132-'BR_woody perennials'!AH101</f>
        <v>-60.656670343209782</v>
      </c>
      <c r="AM132" s="10">
        <f>Assumptions!$E$16</f>
        <v>0.5</v>
      </c>
      <c r="AN132" s="10">
        <f t="shared" si="23"/>
        <v>-0.25426164027249643</v>
      </c>
      <c r="AO132" s="10">
        <f t="shared" si="29"/>
        <v>-0.25426164027249643</v>
      </c>
    </row>
    <row r="133" spans="1:41" x14ac:dyDescent="0.2">
      <c r="A133" s="516"/>
      <c r="B133" s="516"/>
      <c r="C133" s="516"/>
      <c r="D133" s="516"/>
      <c r="E133" s="518"/>
      <c r="F133" s="55" t="s">
        <v>202</v>
      </c>
      <c r="G133" s="10">
        <v>0</v>
      </c>
      <c r="H133" s="80">
        <v>0</v>
      </c>
      <c r="I133" s="10">
        <v>0</v>
      </c>
      <c r="J133" s="10">
        <f t="shared" si="31"/>
        <v>-465.7</v>
      </c>
      <c r="K133" s="10">
        <f>Assumptions!$E$16</f>
        <v>0.5</v>
      </c>
      <c r="L133" s="10">
        <f t="shared" si="36"/>
        <v>0</v>
      </c>
      <c r="M133" s="10">
        <f t="shared" si="37"/>
        <v>0</v>
      </c>
      <c r="N133" s="10">
        <f>'PDB_woody perennials'!K922</f>
        <v>5.777E-3</v>
      </c>
      <c r="O133" s="80">
        <f>'PDB_woody perennials'!G922</f>
        <v>49</v>
      </c>
      <c r="P133" s="10">
        <f>'PDB_woody perennials'!J922</f>
        <v>465.7</v>
      </c>
      <c r="Q133" s="10">
        <f t="shared" si="32"/>
        <v>27.291159076761971</v>
      </c>
      <c r="R133" s="10">
        <f>Assumptions!$E$16</f>
        <v>0.5</v>
      </c>
      <c r="S133" s="10">
        <f t="shared" si="38"/>
        <v>0.28904521430849883</v>
      </c>
      <c r="T133" s="10">
        <f t="shared" si="33"/>
        <v>0.28904521430849883</v>
      </c>
      <c r="U133" s="10">
        <f>'PDB_woody perennials'!K819</f>
        <v>5.4702765513252915E-3</v>
      </c>
      <c r="V133" s="80">
        <f>'PDB_woody perennials'!G819</f>
        <v>48.216200000000001</v>
      </c>
      <c r="W133" s="58">
        <f>'PDB_woody perennials'!J819</f>
        <v>438.40884092323802</v>
      </c>
      <c r="X133" s="10">
        <f t="shared" si="25"/>
        <v>25.656597007597668</v>
      </c>
      <c r="Y133" s="10">
        <f>Assumptions!$E$16</f>
        <v>0.5</v>
      </c>
      <c r="Z133" s="10">
        <f t="shared" si="26"/>
        <v>0.25730591516201767</v>
      </c>
      <c r="AA133" s="10">
        <f t="shared" si="34"/>
        <v>0.25730591516201767</v>
      </c>
      <c r="AB133" s="10">
        <f>'PDB_woody perennials'!K716</f>
        <v>5.1801668237087661E-3</v>
      </c>
      <c r="AC133" s="80">
        <f>'PDB_woody perennials'!G716</f>
        <v>47.348308400000001</v>
      </c>
      <c r="AD133" s="58">
        <f>'PDB_woody perennials'!J716</f>
        <v>412.75224391564035</v>
      </c>
      <c r="AE133" s="10">
        <f t="shared" si="27"/>
        <v>21.521324937994109</v>
      </c>
      <c r="AF133" s="10">
        <f>Assumptions!$E$16</f>
        <v>0.5</v>
      </c>
      <c r="AG133" s="10">
        <f t="shared" si="39"/>
        <v>0.20438743131776418</v>
      </c>
      <c r="AH133" s="10">
        <f t="shared" si="35"/>
        <v>0.20438743131776418</v>
      </c>
      <c r="AI133" s="10">
        <f>'PDB_woody perennials'!K613</f>
        <v>4.9354759663280436E-3</v>
      </c>
      <c r="AJ133" s="80">
        <f>'PDB_woody perennials'!G613</f>
        <v>46.590735465599998</v>
      </c>
      <c r="AK133" s="58">
        <f>'PDB_woody perennials'!J613</f>
        <v>391.23091897764624</v>
      </c>
      <c r="AL133" s="10">
        <f>AK133-'BR_woody perennials'!AH102</f>
        <v>-12674.100261076373</v>
      </c>
      <c r="AM133" s="10">
        <f>Assumptions!$E$16</f>
        <v>0.5</v>
      </c>
      <c r="AN133" s="10">
        <f t="shared" si="23"/>
        <v>-114.67998159451979</v>
      </c>
      <c r="AO133" s="10">
        <f t="shared" si="29"/>
        <v>-114.67998159451979</v>
      </c>
    </row>
    <row r="134" spans="1:41" x14ac:dyDescent="0.2">
      <c r="A134" s="516"/>
      <c r="B134" s="516"/>
      <c r="C134" s="516"/>
      <c r="D134" s="516"/>
      <c r="E134" s="518"/>
      <c r="F134" s="55" t="s">
        <v>185</v>
      </c>
      <c r="G134" s="10">
        <v>0</v>
      </c>
      <c r="H134" s="80">
        <v>0</v>
      </c>
      <c r="I134" s="10">
        <v>0</v>
      </c>
      <c r="J134" s="10">
        <f t="shared" si="31"/>
        <v>-10435.200000000001</v>
      </c>
      <c r="K134" s="10">
        <f>Assumptions!$E$16</f>
        <v>0.5</v>
      </c>
      <c r="L134" s="10">
        <f t="shared" si="36"/>
        <v>0</v>
      </c>
      <c r="M134" s="10">
        <f t="shared" si="37"/>
        <v>0</v>
      </c>
      <c r="N134" s="10">
        <f>'PDB_woody perennials'!K926</f>
        <v>0.10793700000000001</v>
      </c>
      <c r="O134" s="80">
        <f>'PDB_woody perennials'!G926</f>
        <v>295</v>
      </c>
      <c r="P134" s="10">
        <f>'PDB_woody perennials'!J926</f>
        <v>10435.200000000001</v>
      </c>
      <c r="Q134" s="10">
        <f t="shared" si="32"/>
        <v>610.70202987359335</v>
      </c>
      <c r="R134" s="10">
        <f>Assumptions!$E$16</f>
        <v>0.5</v>
      </c>
      <c r="S134" s="10">
        <f t="shared" si="38"/>
        <v>120.84846583052109</v>
      </c>
      <c r="T134" s="10">
        <f t="shared" si="33"/>
        <v>120.84846583052109</v>
      </c>
      <c r="U134" s="10">
        <f>'PDB_woody perennials'!K823</f>
        <v>0.10221277985175287</v>
      </c>
      <c r="V134" s="80">
        <f>'PDB_woody perennials'!G823</f>
        <v>289.29720000000003</v>
      </c>
      <c r="W134" s="58">
        <f>'PDB_woody perennials'!J823</f>
        <v>9824.4979701264074</v>
      </c>
      <c r="X134" s="10">
        <f t="shared" si="25"/>
        <v>574.9500504841053</v>
      </c>
      <c r="Y134" s="10">
        <f>Assumptions!$E$16</f>
        <v>0.5</v>
      </c>
      <c r="Z134" s="10">
        <f t="shared" si="26"/>
        <v>107.73994538245778</v>
      </c>
      <c r="AA134" s="10">
        <f t="shared" si="34"/>
        <v>107.73994538245778</v>
      </c>
      <c r="AB134" s="10">
        <f>'PDB_woody perennials'!K720</f>
        <v>9.6792044456842002E-2</v>
      </c>
      <c r="AC134" s="80">
        <f>'PDB_woody perennials'!G720</f>
        <v>284.08985040000005</v>
      </c>
      <c r="AD134" s="58">
        <f>'PDB_woody perennials'!J720</f>
        <v>9249.5479196423021</v>
      </c>
      <c r="AE134" s="10">
        <f t="shared" si="27"/>
        <v>482.28090638522553</v>
      </c>
      <c r="AF134" s="10">
        <f>Assumptions!$E$16</f>
        <v>0.5</v>
      </c>
      <c r="AG134" s="10">
        <f t="shared" si="39"/>
        <v>85.581750707795479</v>
      </c>
      <c r="AH134" s="10">
        <f t="shared" si="35"/>
        <v>85.581750707795479</v>
      </c>
      <c r="AI134" s="10">
        <f>'PDB_woody perennials'!K617</f>
        <v>9.2219966152842336E-2</v>
      </c>
      <c r="AJ134" s="80">
        <f>'PDB_woody perennials'!G617</f>
        <v>279.54441279360003</v>
      </c>
      <c r="AK134" s="58">
        <f>'PDB_woody perennials'!J617</f>
        <v>8767.2670132570765</v>
      </c>
      <c r="AL134" s="10">
        <f>AK134-'BR_woody perennials'!AH103</f>
        <v>8395.7850278786282</v>
      </c>
      <c r="AM134" s="10">
        <f>Assumptions!$E$16</f>
        <v>0.5</v>
      </c>
      <c r="AN134" s="10">
        <f t="shared" si="23"/>
        <v>1419.4748536787638</v>
      </c>
      <c r="AO134" s="10">
        <f t="shared" si="29"/>
        <v>1419.4748536787638</v>
      </c>
    </row>
    <row r="135" spans="1:41" x14ac:dyDescent="0.2">
      <c r="A135" s="516"/>
      <c r="B135" s="516"/>
      <c r="C135" s="516"/>
      <c r="D135" s="516"/>
      <c r="E135" s="518"/>
      <c r="F135" s="55" t="s">
        <v>188</v>
      </c>
      <c r="G135" s="10">
        <f>'PDB_woody perennials'!K1022</f>
        <v>1.6333814814814815E-2</v>
      </c>
      <c r="H135" s="80">
        <f>'PDB_woody perennials'!G1022</f>
        <v>150</v>
      </c>
      <c r="I135" s="10">
        <f>'PDB_woody perennials'!J1022</f>
        <v>1300.4883279238591</v>
      </c>
      <c r="J135" s="10">
        <f t="shared" si="31"/>
        <v>-1556.411672076141</v>
      </c>
      <c r="K135" s="10">
        <f>Assumptions!$E$16</f>
        <v>0.5</v>
      </c>
      <c r="L135" s="10">
        <f t="shared" si="36"/>
        <v>-46.607256716731285</v>
      </c>
      <c r="M135" s="10">
        <f t="shared" si="37"/>
        <v>-46.607256716731285</v>
      </c>
      <c r="N135" s="10">
        <f>'PDB_woody perennials'!K924</f>
        <v>3.6090999999999998E-2</v>
      </c>
      <c r="O135" s="80">
        <f>'PDB_woody perennials'!G924</f>
        <v>344</v>
      </c>
      <c r="P135" s="10">
        <f>'PDB_woody perennials'!J924</f>
        <v>2856.9</v>
      </c>
      <c r="Q135" s="10">
        <f t="shared" si="32"/>
        <v>167.20198234393638</v>
      </c>
      <c r="R135" s="10">
        <f>Assumptions!$E$16</f>
        <v>0.5</v>
      </c>
      <c r="S135" s="10">
        <f t="shared" si="38"/>
        <v>11.063225698754181</v>
      </c>
      <c r="T135" s="10">
        <f t="shared" si="33"/>
        <v>11.063225698754181</v>
      </c>
      <c r="U135" s="10">
        <f>'PDB_woody perennials'!K821</f>
        <v>3.4176952865779264E-2</v>
      </c>
      <c r="V135" s="80">
        <f>'PDB_woody perennials'!G821</f>
        <v>337.51339999999999</v>
      </c>
      <c r="W135" s="58">
        <f>'PDB_woody perennials'!J821</f>
        <v>2689.6980176560637</v>
      </c>
      <c r="X135" s="10">
        <f t="shared" si="25"/>
        <v>157.40672100912025</v>
      </c>
      <c r="Y135" s="10">
        <f>Assumptions!$E$16</f>
        <v>0.5</v>
      </c>
      <c r="Z135" s="10">
        <f t="shared" si="26"/>
        <v>9.8627504885902102</v>
      </c>
      <c r="AA135" s="10">
        <f t="shared" si="34"/>
        <v>9.8627504885902102</v>
      </c>
      <c r="AB135" s="10">
        <f>'PDB_woody perennials'!K718</f>
        <v>3.2364418089223614E-2</v>
      </c>
      <c r="AC135" s="80">
        <f>'PDB_woody perennials'!G718</f>
        <v>331.4381588</v>
      </c>
      <c r="AD135" s="58">
        <f>'PDB_woody perennials'!J718</f>
        <v>2532.2912966469435</v>
      </c>
      <c r="AE135" s="10">
        <f t="shared" si="27"/>
        <v>132.03626300317228</v>
      </c>
      <c r="AF135" s="10">
        <f>Assumptions!$E$16</f>
        <v>0.5</v>
      </c>
      <c r="AG135" s="10">
        <f t="shared" si="39"/>
        <v>7.8343408344178194</v>
      </c>
      <c r="AH135" s="10">
        <f t="shared" si="35"/>
        <v>7.8343408344178194</v>
      </c>
      <c r="AI135" s="10">
        <f>'PDB_woody perennials'!K615</f>
        <v>3.0835649329376911E-2</v>
      </c>
      <c r="AJ135" s="80">
        <f>'PDB_woody perennials'!G615</f>
        <v>326.13514825919998</v>
      </c>
      <c r="AK135" s="58">
        <f>'PDB_woody perennials'!J615</f>
        <v>2400.2550336437712</v>
      </c>
      <c r="AL135" s="10">
        <f>AK135-'BR_woody perennials'!AH104</f>
        <v>237.15163342103097</v>
      </c>
      <c r="AM135" s="10">
        <f>Assumptions!$E$16</f>
        <v>0.5</v>
      </c>
      <c r="AN135" s="10">
        <f t="shared" si="23"/>
        <v>13.406661777776398</v>
      </c>
      <c r="AO135" s="10">
        <f t="shared" si="29"/>
        <v>13.406661777776398</v>
      </c>
    </row>
    <row r="136" spans="1:41" x14ac:dyDescent="0.2">
      <c r="A136" s="516"/>
      <c r="B136" s="516"/>
      <c r="C136" s="516"/>
      <c r="D136" s="516"/>
      <c r="E136" s="518"/>
      <c r="F136" s="55" t="s">
        <v>175</v>
      </c>
      <c r="G136" s="10">
        <v>0</v>
      </c>
      <c r="H136" s="80">
        <v>0</v>
      </c>
      <c r="I136" s="10">
        <v>0</v>
      </c>
      <c r="J136" s="10">
        <f t="shared" si="31"/>
        <v>-255.8</v>
      </c>
      <c r="K136" s="10">
        <f>Assumptions!$E$16</f>
        <v>0.5</v>
      </c>
      <c r="L136" s="10">
        <f t="shared" si="36"/>
        <v>0</v>
      </c>
      <c r="M136" s="10">
        <f t="shared" si="37"/>
        <v>0</v>
      </c>
      <c r="N136" s="10">
        <f>'PDB_woody perennials'!K920</f>
        <v>3.7929999999999999E-3</v>
      </c>
      <c r="O136" s="80">
        <f>'PDB_woody perennials'!G920</f>
        <v>98</v>
      </c>
      <c r="P136" s="10">
        <f>'PDB_woody perennials'!J920</f>
        <v>255.8</v>
      </c>
      <c r="Q136" s="10">
        <f t="shared" si="32"/>
        <v>14.947338233167869</v>
      </c>
      <c r="R136" s="10">
        <f>Assumptions!$E$16</f>
        <v>0.5</v>
      </c>
      <c r="S136" s="10">
        <f t="shared" si="38"/>
        <v>0.10394129885041049</v>
      </c>
      <c r="T136" s="10">
        <f t="shared" si="33"/>
        <v>0.10394129885041049</v>
      </c>
      <c r="U136" s="10">
        <f>'PDB_woody perennials'!K817</f>
        <v>3.5915549225471132E-3</v>
      </c>
      <c r="V136" s="80">
        <f>'PDB_woody perennials'!G817</f>
        <v>96.432400000000001</v>
      </c>
      <c r="W136" s="58">
        <f>'PDB_woody perennials'!J817</f>
        <v>240.85266176683214</v>
      </c>
      <c r="X136" s="10">
        <f t="shared" si="25"/>
        <v>14.095198600798284</v>
      </c>
      <c r="Y136" s="10">
        <f>Assumptions!$E$16</f>
        <v>0.5</v>
      </c>
      <c r="Z136" s="10">
        <f t="shared" si="26"/>
        <v>9.2810079851456465E-2</v>
      </c>
      <c r="AA136" s="10">
        <f t="shared" si="34"/>
        <v>9.2810079851456465E-2</v>
      </c>
      <c r="AB136" s="10">
        <f>'PDB_woody perennials'!K714</f>
        <v>3.401081002165976E-3</v>
      </c>
      <c r="AC136" s="80">
        <f>'PDB_woody perennials'!G714</f>
        <v>94.696616800000001</v>
      </c>
      <c r="AD136" s="58">
        <f>'PDB_woody perennials'!J714</f>
        <v>226.75746316603386</v>
      </c>
      <c r="AE136" s="10">
        <f t="shared" si="27"/>
        <v>11.823366484008801</v>
      </c>
      <c r="AF136" s="10">
        <f>Assumptions!$E$16</f>
        <v>0.5</v>
      </c>
      <c r="AG136" s="10">
        <f t="shared" si="39"/>
        <v>7.3722416405748489E-2</v>
      </c>
      <c r="AH136" s="10">
        <f t="shared" si="35"/>
        <v>7.3722416405748489E-2</v>
      </c>
      <c r="AI136" s="10">
        <f>'PDB_woody perennials'!K611</f>
        <v>3.2404272134438886E-3</v>
      </c>
      <c r="AJ136" s="80">
        <f>'PDB_woody perennials'!G611</f>
        <v>93.181470931199996</v>
      </c>
      <c r="AK136" s="58">
        <f>'PDB_woody perennials'!J611</f>
        <v>214.93409668202506</v>
      </c>
      <c r="AL136" s="10">
        <f>AK136-'BR_woody perennials'!AH105</f>
        <v>-2064.1585364939128</v>
      </c>
      <c r="AM136" s="10">
        <f>Assumptions!$E$16</f>
        <v>0.5</v>
      </c>
      <c r="AN136" s="10">
        <f t="shared" si="23"/>
        <v>-12.262718406615205</v>
      </c>
      <c r="AO136" s="10">
        <f t="shared" si="29"/>
        <v>-12.262718406615205</v>
      </c>
    </row>
    <row r="137" spans="1:41" x14ac:dyDescent="0.2">
      <c r="A137" s="516"/>
      <c r="B137" s="516"/>
      <c r="C137" s="516"/>
      <c r="D137" s="516"/>
      <c r="E137" s="518"/>
      <c r="F137" s="55" t="s">
        <v>173</v>
      </c>
      <c r="G137" s="10">
        <f>'PDB_woody perennials'!K1023</f>
        <v>8.6154195011337881E-3</v>
      </c>
      <c r="H137" s="80">
        <f>'PDB_woody perennials'!G1023</f>
        <v>400</v>
      </c>
      <c r="I137" s="10">
        <f>'PDB_woody perennials'!J1023</f>
        <v>529.28607860231159</v>
      </c>
      <c r="J137" s="10">
        <f t="shared" si="31"/>
        <v>-778.81392139768832</v>
      </c>
      <c r="K137" s="10">
        <f>Assumptions!$E$16</f>
        <v>0.5</v>
      </c>
      <c r="L137" s="10">
        <f t="shared" si="36"/>
        <v>-12.30131585130089</v>
      </c>
      <c r="M137" s="10">
        <f t="shared" si="37"/>
        <v>-12.30131585130089</v>
      </c>
      <c r="N137" s="10">
        <f>'PDB_woody perennials'!K925</f>
        <v>2.1416000000000001E-2</v>
      </c>
      <c r="O137" s="80">
        <f>'PDB_woody perennials'!G925</f>
        <v>1031</v>
      </c>
      <c r="P137" s="10">
        <f>'PDB_woody perennials'!J925</f>
        <v>1308.0999999999999</v>
      </c>
      <c r="Q137" s="10">
        <f t="shared" si="32"/>
        <v>76.584002086287001</v>
      </c>
      <c r="R137" s="10">
        <f>Assumptions!$E$16</f>
        <v>0.5</v>
      </c>
      <c r="S137" s="10">
        <f t="shared" si="38"/>
        <v>3.0068921459131914</v>
      </c>
      <c r="T137" s="10">
        <f t="shared" si="33"/>
        <v>3.0068921459131914</v>
      </c>
      <c r="U137" s="10">
        <f>'PDB_woody perennials'!K822</f>
        <v>2.0280313462649371E-2</v>
      </c>
      <c r="V137" s="80">
        <f>'PDB_woody perennials'!G822</f>
        <v>1012.5401999999999</v>
      </c>
      <c r="W137" s="58">
        <f>'PDB_woody perennials'!J822</f>
        <v>1231.5159979137129</v>
      </c>
      <c r="X137" s="10">
        <f t="shared" si="25"/>
        <v>72.070877038752769</v>
      </c>
      <c r="Y137" s="10">
        <f>Assumptions!$E$16</f>
        <v>0.5</v>
      </c>
      <c r="Z137" s="10">
        <f t="shared" si="26"/>
        <v>2.6796366261022695</v>
      </c>
      <c r="AA137" s="10">
        <f t="shared" si="34"/>
        <v>2.6796366261022695</v>
      </c>
      <c r="AB137" s="10">
        <f>'PDB_woody perennials'!K719</f>
        <v>1.9204770725563883E-2</v>
      </c>
      <c r="AC137" s="80">
        <f>'PDB_woody perennials'!G719</f>
        <v>994.31447639999988</v>
      </c>
      <c r="AD137" s="58">
        <f>'PDB_woody perennials'!J719</f>
        <v>1159.4451208749601</v>
      </c>
      <c r="AE137" s="10">
        <f t="shared" si="27"/>
        <v>60.454656666197252</v>
      </c>
      <c r="AF137" s="10">
        <f>Assumptions!$E$16</f>
        <v>0.5</v>
      </c>
      <c r="AG137" s="10">
        <f t="shared" si="39"/>
        <v>2.1285326710395007</v>
      </c>
      <c r="AH137" s="10">
        <f t="shared" si="35"/>
        <v>2.1285326710395007</v>
      </c>
      <c r="AI137" s="10">
        <f>'PDB_woody perennials'!K616</f>
        <v>1.8297612331913155E-2</v>
      </c>
      <c r="AJ137" s="80">
        <f>'PDB_woody perennials'!G616</f>
        <v>978.40544477759988</v>
      </c>
      <c r="AK137" s="58">
        <f>'PDB_woody perennials'!J616</f>
        <v>1098.9904642087629</v>
      </c>
      <c r="AL137" s="10">
        <f>AK137-'BR_woody perennials'!AH106</f>
        <v>55.475906046806813</v>
      </c>
      <c r="AM137" s="10">
        <f>Assumptions!$E$16</f>
        <v>0.5</v>
      </c>
      <c r="AN137" s="10">
        <f t="shared" si="23"/>
        <v>1.8609738081111977</v>
      </c>
      <c r="AO137" s="10">
        <f t="shared" si="29"/>
        <v>1.8609738081111977</v>
      </c>
    </row>
    <row r="138" spans="1:41" x14ac:dyDescent="0.2">
      <c r="A138" s="516"/>
      <c r="B138" s="516"/>
      <c r="C138" s="516"/>
      <c r="D138" s="516"/>
      <c r="E138" s="518"/>
      <c r="F138" s="55" t="s">
        <v>177</v>
      </c>
      <c r="G138" s="10">
        <v>0</v>
      </c>
      <c r="H138" s="80">
        <v>0</v>
      </c>
      <c r="I138" s="10">
        <v>0</v>
      </c>
      <c r="J138" s="10">
        <f t="shared" si="31"/>
        <v>-2711.5</v>
      </c>
      <c r="K138" s="10">
        <f>Assumptions!$E$16</f>
        <v>0.5</v>
      </c>
      <c r="L138" s="10">
        <f t="shared" si="36"/>
        <v>0</v>
      </c>
      <c r="M138" s="10">
        <f t="shared" si="37"/>
        <v>0</v>
      </c>
      <c r="N138" s="10">
        <f>'PDB_woody perennials'!K923</f>
        <v>3.5719000000000001E-2</v>
      </c>
      <c r="O138" s="80">
        <f>'PDB_woody perennials'!G923</f>
        <v>442</v>
      </c>
      <c r="P138" s="10">
        <f>'PDB_woody perennials'!J923</f>
        <v>2711.5</v>
      </c>
      <c r="Q138" s="10">
        <f t="shared" si="32"/>
        <v>158.68804191094523</v>
      </c>
      <c r="R138" s="10">
        <f>Assumptions!$E$16</f>
        <v>0.5</v>
      </c>
      <c r="S138" s="10">
        <f t="shared" si="38"/>
        <v>10.391659976531264</v>
      </c>
      <c r="T138" s="10">
        <f t="shared" si="33"/>
        <v>10.391659976531264</v>
      </c>
      <c r="U138" s="10">
        <f>'PDB_woody perennials'!K820</f>
        <v>3.382454594956421E-2</v>
      </c>
      <c r="V138" s="80">
        <f>'PDB_woody perennials'!G820</f>
        <v>433.94579999999996</v>
      </c>
      <c r="W138" s="58">
        <f>'PDB_woody perennials'!J820</f>
        <v>2552.8119580890548</v>
      </c>
      <c r="X138" s="10">
        <f t="shared" si="25"/>
        <v>149.39586415944359</v>
      </c>
      <c r="Y138" s="10">
        <f>Assumptions!$E$16</f>
        <v>0.5</v>
      </c>
      <c r="Z138" s="10">
        <f t="shared" si="26"/>
        <v>9.2642866652159128</v>
      </c>
      <c r="AA138" s="10">
        <f t="shared" si="34"/>
        <v>9.2642866652159128</v>
      </c>
      <c r="AB138" s="10">
        <f>'PDB_woody perennials'!K717</f>
        <v>3.2030700662198729E-2</v>
      </c>
      <c r="AC138" s="80">
        <f>'PDB_woody perennials'!G717</f>
        <v>426.13477559999995</v>
      </c>
      <c r="AD138" s="58">
        <f>'PDB_woody perennials'!J717</f>
        <v>2403.4160939296112</v>
      </c>
      <c r="AE138" s="10">
        <f t="shared" si="27"/>
        <v>125.31657787725317</v>
      </c>
      <c r="AF138" s="10">
        <f>Assumptions!$E$16</f>
        <v>0.5</v>
      </c>
      <c r="AG138" s="10">
        <f t="shared" si="39"/>
        <v>7.3589592889952549</v>
      </c>
      <c r="AH138" s="10">
        <f t="shared" si="35"/>
        <v>7.3589592889952549</v>
      </c>
      <c r="AI138" s="10">
        <f>'PDB_woody perennials'!K614</f>
        <v>3.0517695410771855E-2</v>
      </c>
      <c r="AJ138" s="80">
        <f>'PDB_woody perennials'!G614</f>
        <v>419.31661919039993</v>
      </c>
      <c r="AK138" s="58">
        <f>'PDB_woody perennials'!J614</f>
        <v>2278.099516052358</v>
      </c>
      <c r="AL138" s="10">
        <f>AK138-'BR_woody perennials'!AH107</f>
        <v>-6046.6048936566494</v>
      </c>
      <c r="AM138" s="10">
        <f>Assumptions!$E$16</f>
        <v>0.5</v>
      </c>
      <c r="AN138" s="10">
        <f t="shared" si="23"/>
        <v>-338.30215175880966</v>
      </c>
      <c r="AO138" s="10">
        <f t="shared" si="29"/>
        <v>-338.30215175880966</v>
      </c>
    </row>
    <row r="139" spans="1:41" x14ac:dyDescent="0.2">
      <c r="A139" s="516"/>
      <c r="B139" s="516"/>
      <c r="C139" s="516"/>
      <c r="D139" s="516"/>
      <c r="E139" s="518"/>
      <c r="F139" s="55" t="s">
        <v>172</v>
      </c>
      <c r="G139" s="10">
        <f>'PDB_woody perennials'!K1019</f>
        <v>1.2717000000000003E-2</v>
      </c>
      <c r="H139" s="80">
        <f>'PDB_woody perennials'!G1019</f>
        <v>50</v>
      </c>
      <c r="I139" s="10">
        <f>'PDB_woody perennials'!J1019</f>
        <v>1159.7127458092971</v>
      </c>
      <c r="J139" s="10">
        <f t="shared" si="31"/>
        <v>-15217.987254190704</v>
      </c>
      <c r="K139" s="10">
        <f>Assumptions!$E$16</f>
        <v>0.5</v>
      </c>
      <c r="L139" s="10">
        <f t="shared" si="36"/>
        <v>-354.79976383782923</v>
      </c>
      <c r="M139" s="10">
        <f t="shared" si="37"/>
        <v>-354.79976383782923</v>
      </c>
      <c r="N139" s="10">
        <f>'PDB_woody perennials'!K921</f>
        <v>0.18063899999999999</v>
      </c>
      <c r="O139" s="80">
        <f>'PDB_woody perennials'!G921</f>
        <v>737</v>
      </c>
      <c r="P139" s="10">
        <f>'PDB_woody perennials'!J921</f>
        <v>16377.7</v>
      </c>
      <c r="Q139" s="10">
        <f t="shared" si="32"/>
        <v>958.49550455091412</v>
      </c>
      <c r="R139" s="10">
        <f>Assumptions!$E$16</f>
        <v>0.5</v>
      </c>
      <c r="S139" s="10">
        <f t="shared" si="38"/>
        <v>317.42639398538307</v>
      </c>
      <c r="T139" s="10">
        <f t="shared" si="33"/>
        <v>317.42639398538307</v>
      </c>
      <c r="U139" s="10">
        <f>'PDB_woody perennials'!K818</f>
        <v>0.17105857785107395</v>
      </c>
      <c r="V139" s="80">
        <f>'PDB_woody perennials'!G818</f>
        <v>723.24300000000005</v>
      </c>
      <c r="W139" s="58">
        <f>'PDB_woody perennials'!J818</f>
        <v>15419.204495449087</v>
      </c>
      <c r="X139" s="10">
        <f>W139-AD139</f>
        <v>902.36391009902763</v>
      </c>
      <c r="Y139" s="10">
        <f>Assumptions!$E$16</f>
        <v>0.5</v>
      </c>
      <c r="Z139" s="10">
        <f t="shared" si="26"/>
        <v>282.98799313706905</v>
      </c>
      <c r="AA139" s="10">
        <f t="shared" si="34"/>
        <v>282.98799313706905</v>
      </c>
      <c r="AB139" s="10">
        <f>'PDB_woody perennials'!K715</f>
        <v>0.1619866859711612</v>
      </c>
      <c r="AC139" s="80">
        <f>'PDB_woody perennials'!G715</f>
        <v>710.22462600000006</v>
      </c>
      <c r="AD139" s="58">
        <f>'PDB_woody perennials'!J715</f>
        <v>14516.840585350059</v>
      </c>
      <c r="AE139" s="10">
        <f t="shared" si="27"/>
        <v>756.9229432808188</v>
      </c>
      <c r="AF139" s="10">
        <f>Assumptions!$E$16</f>
        <v>0.5</v>
      </c>
      <c r="AG139" s="10">
        <f t="shared" si="39"/>
        <v>224.78763838226129</v>
      </c>
      <c r="AH139" s="10">
        <f t="shared" si="35"/>
        <v>224.78763838226129</v>
      </c>
      <c r="AI139" s="10">
        <f>'PDB_woody perennials'!K612</f>
        <v>0.15433506732190555</v>
      </c>
      <c r="AJ139" s="80">
        <f>'PDB_woody perennials'!G612</f>
        <v>698.86103198400008</v>
      </c>
      <c r="AK139" s="58">
        <f>'PDB_woody perennials'!J612</f>
        <v>13759.91764206924</v>
      </c>
      <c r="AL139" s="10">
        <f>AK139-'BR_woody perennials'!AH108</f>
        <v>13623.729953677963</v>
      </c>
      <c r="AM139" s="10">
        <f>Assumptions!$E$16</f>
        <v>0.5</v>
      </c>
      <c r="AN139" s="10">
        <f t="shared" si="23"/>
        <v>3854.8020125566404</v>
      </c>
      <c r="AO139" s="10">
        <f t="shared" si="29"/>
        <v>3854.8020125566404</v>
      </c>
    </row>
    <row r="140" spans="1:41" x14ac:dyDescent="0.2">
      <c r="A140" s="516"/>
      <c r="B140" s="516"/>
      <c r="C140" s="516"/>
      <c r="D140" s="516"/>
      <c r="E140" s="518"/>
      <c r="F140" s="55" t="s">
        <v>383</v>
      </c>
      <c r="G140" s="10">
        <f>'PDB_woody perennials'!K1018</f>
        <v>3.9740625000000008E-4</v>
      </c>
      <c r="H140" s="80">
        <f>'PDB_woody perennials'!G1018</f>
        <v>25</v>
      </c>
      <c r="I140" s="10">
        <f>'PDB_woody perennials'!J1018</f>
        <v>23.256333932897466</v>
      </c>
      <c r="J140" s="10">
        <f t="shared" si="31"/>
        <v>23.256333932897466</v>
      </c>
      <c r="K140" s="10">
        <f>Assumptions!$E$16</f>
        <v>0.5</v>
      </c>
      <c r="L140" s="10">
        <f t="shared" si="36"/>
        <v>1.6944056171204317E-2</v>
      </c>
      <c r="M140" s="10">
        <f t="shared" si="37"/>
        <v>1.6944056171204317E-2</v>
      </c>
      <c r="N140" s="10"/>
      <c r="O140" s="76"/>
      <c r="P140" s="10"/>
      <c r="Q140" s="10"/>
      <c r="R140" s="10">
        <f>Assumptions!$E$16</f>
        <v>0.5</v>
      </c>
      <c r="S140" s="10"/>
      <c r="T140" s="10"/>
      <c r="U140" s="10"/>
      <c r="V140" s="76"/>
      <c r="W140" s="58"/>
      <c r="X140" s="10"/>
      <c r="Y140" s="10">
        <f>Assumptions!$E$16</f>
        <v>0.5</v>
      </c>
      <c r="Z140" s="10"/>
      <c r="AA140" s="10"/>
      <c r="AB140" s="10"/>
      <c r="AC140" s="76"/>
      <c r="AD140" s="58"/>
      <c r="AE140" s="10"/>
      <c r="AF140" s="10">
        <f>Assumptions!$E$16</f>
        <v>0.5</v>
      </c>
      <c r="AG140" s="10"/>
      <c r="AH140" s="10"/>
      <c r="AI140" s="10"/>
      <c r="AJ140" s="76"/>
      <c r="AK140" s="58"/>
      <c r="AL140" s="10"/>
      <c r="AM140" s="10">
        <f>Assumptions!$E$16</f>
        <v>0.5</v>
      </c>
      <c r="AN140" s="10"/>
      <c r="AO140" s="10"/>
    </row>
    <row r="141" spans="1:41" x14ac:dyDescent="0.2">
      <c r="A141" s="516"/>
      <c r="B141" s="516"/>
      <c r="C141" s="516"/>
      <c r="D141" s="516"/>
      <c r="E141" s="518"/>
      <c r="F141" s="55" t="s">
        <v>186</v>
      </c>
      <c r="G141" s="10">
        <f>'PDB_woody perennials'!K1020</f>
        <v>1.6583125000000003E-3</v>
      </c>
      <c r="H141" s="80">
        <f>'PDB_woody perennials'!G1020</f>
        <v>50</v>
      </c>
      <c r="I141" s="10">
        <f>'PDB_woody perennials'!J1020</f>
        <v>109.16343824087716</v>
      </c>
      <c r="J141" s="10">
        <f t="shared" si="31"/>
        <v>109.16343824087716</v>
      </c>
      <c r="K141" s="10">
        <f>Assumptions!$E$16</f>
        <v>0.5</v>
      </c>
      <c r="L141" s="10">
        <f t="shared" si="36"/>
        <v>0.33188300599267845</v>
      </c>
      <c r="M141" s="10">
        <f t="shared" si="37"/>
        <v>0.33188300599267845</v>
      </c>
      <c r="N141" s="10"/>
      <c r="O141" s="76"/>
      <c r="P141" s="10"/>
      <c r="Q141" s="10"/>
      <c r="R141" s="10">
        <f>Assumptions!$E$16</f>
        <v>0.5</v>
      </c>
      <c r="S141" s="10"/>
      <c r="T141" s="10"/>
      <c r="U141" s="10"/>
      <c r="V141" s="76"/>
      <c r="W141" s="58"/>
      <c r="X141" s="10"/>
      <c r="Y141" s="10">
        <f>Assumptions!$E$16</f>
        <v>0.5</v>
      </c>
      <c r="Z141" s="10"/>
      <c r="AA141" s="10"/>
      <c r="AB141" s="10"/>
      <c r="AC141" s="76"/>
      <c r="AD141" s="58"/>
      <c r="AE141" s="10"/>
      <c r="AF141" s="10">
        <f>Assumptions!$E$16</f>
        <v>0.5</v>
      </c>
      <c r="AG141" s="10"/>
      <c r="AH141" s="10"/>
      <c r="AI141" s="10"/>
      <c r="AJ141" s="76"/>
      <c r="AK141" s="58"/>
      <c r="AL141" s="10"/>
      <c r="AM141" s="10">
        <f>Assumptions!$E$16</f>
        <v>0.5</v>
      </c>
      <c r="AN141" s="10"/>
      <c r="AO141" s="10"/>
    </row>
    <row r="142" spans="1:41" x14ac:dyDescent="0.2">
      <c r="A142" s="516"/>
      <c r="B142" s="516"/>
      <c r="C142" s="516"/>
      <c r="D142" s="516"/>
      <c r="E142" s="518"/>
      <c r="F142" s="55" t="s">
        <v>182</v>
      </c>
      <c r="G142" s="10">
        <f>'PDB_woody perennials'!K1021</f>
        <v>3.0772000000000004E-2</v>
      </c>
      <c r="H142" s="80">
        <f>'PDB_woody perennials'!G1021</f>
        <v>50</v>
      </c>
      <c r="I142" s="10">
        <f>'PDB_woody perennials'!J1021</f>
        <v>3232.3981621851553</v>
      </c>
      <c r="J142" s="10">
        <f t="shared" si="31"/>
        <v>3232.3981621851553</v>
      </c>
      <c r="K142" s="10">
        <f>Assumptions!$E$16</f>
        <v>0.5</v>
      </c>
      <c r="L142" s="10">
        <f t="shared" si="36"/>
        <v>182.35681978572961</v>
      </c>
      <c r="M142" s="10">
        <f t="shared" si="37"/>
        <v>182.35681978572961</v>
      </c>
      <c r="N142" s="10"/>
      <c r="O142" s="76"/>
      <c r="P142" s="10"/>
      <c r="Q142" s="10"/>
      <c r="R142" s="10">
        <f>Assumptions!$E$16</f>
        <v>0.5</v>
      </c>
      <c r="S142" s="10"/>
      <c r="T142" s="10"/>
      <c r="U142" s="10"/>
      <c r="V142" s="76"/>
      <c r="W142" s="58"/>
      <c r="X142" s="10"/>
      <c r="Y142" s="10">
        <f>Assumptions!$E$16</f>
        <v>0.5</v>
      </c>
      <c r="Z142" s="10"/>
      <c r="AA142" s="10"/>
      <c r="AB142" s="10"/>
      <c r="AC142" s="76"/>
      <c r="AD142" s="58"/>
      <c r="AE142" s="10"/>
      <c r="AF142" s="10">
        <f>Assumptions!$E$16</f>
        <v>0.5</v>
      </c>
      <c r="AG142" s="10"/>
      <c r="AH142" s="10"/>
      <c r="AI142" s="10"/>
      <c r="AJ142" s="76"/>
      <c r="AK142" s="58"/>
      <c r="AL142" s="10"/>
      <c r="AM142" s="10">
        <f>Assumptions!$E$16</f>
        <v>0.5</v>
      </c>
      <c r="AN142" s="10"/>
      <c r="AO142" s="10"/>
    </row>
    <row r="143" spans="1:41" x14ac:dyDescent="0.2">
      <c r="A143" s="516"/>
      <c r="B143" s="516"/>
      <c r="C143" s="516"/>
      <c r="D143" s="516"/>
      <c r="E143" s="518"/>
      <c r="F143" s="55" t="s">
        <v>384</v>
      </c>
      <c r="G143" s="10">
        <f>'PDB_woody perennials'!K1024</f>
        <v>2.3746250000000004E-3</v>
      </c>
      <c r="H143" s="80">
        <f>'PDB_woody perennials'!G1024</f>
        <v>25</v>
      </c>
      <c r="I143" s="10">
        <f>'PDB_woody perennials'!J1024</f>
        <v>184.97764769798439</v>
      </c>
      <c r="J143" s="10">
        <f t="shared" si="31"/>
        <v>184.97764769798439</v>
      </c>
      <c r="K143" s="10">
        <f>Assumptions!$E$16</f>
        <v>0.5</v>
      </c>
      <c r="L143" s="10">
        <f t="shared" si="36"/>
        <v>0.8052963355521815</v>
      </c>
      <c r="M143" s="10">
        <f t="shared" si="37"/>
        <v>0.8052963355521815</v>
      </c>
      <c r="N143" s="10"/>
      <c r="O143" s="76"/>
      <c r="P143" s="10"/>
      <c r="Q143" s="10"/>
      <c r="R143" s="10">
        <f>Assumptions!$E$16</f>
        <v>0.5</v>
      </c>
      <c r="S143" s="10"/>
      <c r="T143" s="10"/>
      <c r="U143" s="10"/>
      <c r="V143" s="76"/>
      <c r="W143" s="58"/>
      <c r="X143" s="10"/>
      <c r="Y143" s="10">
        <f>Assumptions!$E$16</f>
        <v>0.5</v>
      </c>
      <c r="Z143" s="10"/>
      <c r="AA143" s="10"/>
      <c r="AB143" s="10"/>
      <c r="AC143" s="76"/>
      <c r="AD143" s="58"/>
      <c r="AE143" s="10"/>
      <c r="AF143" s="10">
        <f>Assumptions!$E$16</f>
        <v>0.5</v>
      </c>
      <c r="AG143" s="10"/>
      <c r="AH143" s="10"/>
      <c r="AI143" s="10"/>
      <c r="AJ143" s="76"/>
      <c r="AK143" s="58"/>
      <c r="AL143" s="10"/>
      <c r="AM143" s="10">
        <f>Assumptions!$E$16</f>
        <v>0.5</v>
      </c>
      <c r="AN143" s="10"/>
      <c r="AO143" s="10"/>
    </row>
    <row r="144" spans="1:41" x14ac:dyDescent="0.2">
      <c r="A144" s="516"/>
      <c r="B144" s="516"/>
      <c r="C144" s="516"/>
      <c r="D144" s="516"/>
      <c r="E144" s="518"/>
      <c r="F144" s="55" t="s">
        <v>196</v>
      </c>
      <c r="G144" s="10">
        <f>'PDB_woody perennials'!K1025</f>
        <v>6.1818750000000006E-2</v>
      </c>
      <c r="H144" s="80">
        <f>'PDB_woody perennials'!G1025</f>
        <v>350</v>
      </c>
      <c r="I144" s="10">
        <f>'PDB_woody perennials'!J1025</f>
        <v>5317.9956711586401</v>
      </c>
      <c r="J144" s="10">
        <f t="shared" si="31"/>
        <v>5317.9956711586401</v>
      </c>
      <c r="K144" s="10">
        <f>Assumptions!$E$16</f>
        <v>0.5</v>
      </c>
      <c r="L144" s="10">
        <f t="shared" si="36"/>
        <v>602.71171564347003</v>
      </c>
      <c r="M144" s="10">
        <f t="shared" si="37"/>
        <v>602.71171564347003</v>
      </c>
      <c r="N144" s="10"/>
      <c r="O144" s="76"/>
      <c r="P144" s="10"/>
      <c r="Q144" s="10"/>
      <c r="R144" s="10">
        <f>Assumptions!$E$16</f>
        <v>0.5</v>
      </c>
      <c r="S144" s="10"/>
      <c r="T144" s="10"/>
      <c r="U144" s="10"/>
      <c r="V144" s="76"/>
      <c r="W144" s="58"/>
      <c r="X144" s="10"/>
      <c r="Y144" s="10">
        <f>Assumptions!$E$16</f>
        <v>0.5</v>
      </c>
      <c r="Z144" s="10"/>
      <c r="AA144" s="10"/>
      <c r="AB144" s="10"/>
      <c r="AC144" s="76"/>
      <c r="AD144" s="58"/>
      <c r="AE144" s="10"/>
      <c r="AF144" s="10">
        <f>Assumptions!$E$16</f>
        <v>0.5</v>
      </c>
      <c r="AG144" s="10"/>
      <c r="AH144" s="10"/>
      <c r="AI144" s="10"/>
      <c r="AJ144" s="76"/>
      <c r="AK144" s="58"/>
      <c r="AL144" s="10"/>
      <c r="AM144" s="10">
        <f>Assumptions!$E$16</f>
        <v>0.5</v>
      </c>
      <c r="AN144" s="10"/>
      <c r="AO144" s="10"/>
    </row>
    <row r="145" spans="1:41" x14ac:dyDescent="0.2">
      <c r="A145" s="516"/>
      <c r="B145" s="516"/>
      <c r="C145" s="516"/>
      <c r="D145" s="516"/>
      <c r="E145" s="518"/>
      <c r="F145" s="55" t="s">
        <v>385</v>
      </c>
      <c r="G145" s="10">
        <f>'PDB_woody perennials'!K1026</f>
        <v>1.7662500000000001E-2</v>
      </c>
      <c r="H145" s="80">
        <f>'PDB_woody perennials'!G1026</f>
        <v>100</v>
      </c>
      <c r="I145" s="10">
        <f>'PDB_woody perennials'!J1026</f>
        <v>1519.4273346167543</v>
      </c>
      <c r="J145" s="10">
        <f t="shared" si="31"/>
        <v>1519.4273346167543</v>
      </c>
      <c r="K145" s="10">
        <f>Assumptions!$E$16</f>
        <v>0.5</v>
      </c>
      <c r="L145" s="10">
        <f t="shared" si="36"/>
        <v>49.200956379058773</v>
      </c>
      <c r="M145" s="10">
        <f t="shared" si="37"/>
        <v>49.200956379058773</v>
      </c>
      <c r="N145" s="10"/>
      <c r="O145" s="76"/>
      <c r="P145" s="10"/>
      <c r="Q145" s="10"/>
      <c r="R145" s="10">
        <f>Assumptions!$E$16</f>
        <v>0.5</v>
      </c>
      <c r="S145" s="10"/>
      <c r="T145" s="10"/>
      <c r="U145" s="10"/>
      <c r="V145" s="76"/>
      <c r="W145" s="58"/>
      <c r="X145" s="10"/>
      <c r="Y145" s="10">
        <f>Assumptions!$E$16</f>
        <v>0.5</v>
      </c>
      <c r="Z145" s="10"/>
      <c r="AA145" s="10"/>
      <c r="AB145" s="10"/>
      <c r="AC145" s="76"/>
      <c r="AD145" s="58"/>
      <c r="AE145" s="10"/>
      <c r="AF145" s="10">
        <f>Assumptions!$E$16</f>
        <v>0.5</v>
      </c>
      <c r="AG145" s="10"/>
      <c r="AH145" s="10"/>
      <c r="AI145" s="10"/>
      <c r="AJ145" s="76"/>
      <c r="AK145" s="58"/>
      <c r="AL145" s="10"/>
      <c r="AM145" s="10">
        <f>Assumptions!$E$16</f>
        <v>0.5</v>
      </c>
      <c r="AN145" s="10"/>
      <c r="AO145" s="10"/>
    </row>
    <row r="146" spans="1:41" x14ac:dyDescent="0.2">
      <c r="A146" s="516"/>
      <c r="B146" s="516"/>
      <c r="C146" s="516"/>
      <c r="D146" s="516"/>
      <c r="E146" s="518"/>
      <c r="F146" s="55" t="s">
        <v>379</v>
      </c>
      <c r="G146" s="10">
        <f>'PDB_woody perennials'!K1027</f>
        <v>1.0381625000000002E-2</v>
      </c>
      <c r="H146" s="80">
        <f>'PDB_woody perennials'!G1027</f>
        <v>25</v>
      </c>
      <c r="I146" s="10">
        <f>'PDB_woody perennials'!J1027</f>
        <v>1023.9925627031541</v>
      </c>
      <c r="J146" s="10">
        <f t="shared" si="31"/>
        <v>1023.9925627031541</v>
      </c>
      <c r="K146" s="10">
        <f>Assumptions!$E$16</f>
        <v>0.5</v>
      </c>
      <c r="L146" s="10">
        <f t="shared" si="36"/>
        <v>19.489629112750745</v>
      </c>
      <c r="M146" s="10">
        <f t="shared" si="37"/>
        <v>19.489629112750745</v>
      </c>
      <c r="N146" s="10"/>
      <c r="O146" s="76"/>
      <c r="P146" s="10"/>
      <c r="Q146" s="10"/>
      <c r="R146" s="10">
        <f>Assumptions!$E$16</f>
        <v>0.5</v>
      </c>
      <c r="S146" s="10"/>
      <c r="T146" s="10"/>
      <c r="U146" s="10"/>
      <c r="V146" s="76"/>
      <c r="W146" s="58"/>
      <c r="X146" s="10"/>
      <c r="Y146" s="10">
        <f>Assumptions!$E$16</f>
        <v>0.5</v>
      </c>
      <c r="Z146" s="10"/>
      <c r="AA146" s="10"/>
      <c r="AB146" s="10"/>
      <c r="AC146" s="76"/>
      <c r="AD146" s="58"/>
      <c r="AE146" s="10"/>
      <c r="AF146" s="10">
        <f>Assumptions!$E$16</f>
        <v>0.5</v>
      </c>
      <c r="AG146" s="10"/>
      <c r="AH146" s="10"/>
      <c r="AI146" s="10"/>
      <c r="AJ146" s="76"/>
      <c r="AK146" s="58"/>
      <c r="AL146" s="10"/>
      <c r="AM146" s="10">
        <f>Assumptions!$E$16</f>
        <v>0.5</v>
      </c>
      <c r="AN146" s="10"/>
      <c r="AO146" s="10"/>
    </row>
    <row r="147" spans="1:41" x14ac:dyDescent="0.2">
      <c r="G147" s="599" t="s">
        <v>326</v>
      </c>
      <c r="H147" s="599"/>
      <c r="I147" s="599"/>
      <c r="J147" s="599"/>
      <c r="K147" s="599"/>
      <c r="L147" s="599"/>
      <c r="M147" s="78">
        <f>SUM(M9:M146)</f>
        <v>13953.708491701935</v>
      </c>
      <c r="N147" s="599" t="s">
        <v>327</v>
      </c>
      <c r="O147" s="599"/>
      <c r="P147" s="599"/>
      <c r="Q147" s="599"/>
      <c r="R147" s="599"/>
      <c r="S147" s="599"/>
      <c r="T147" s="78">
        <f>SUM(T9:T146)</f>
        <v>15880.466472447612</v>
      </c>
      <c r="U147" s="599" t="s">
        <v>328</v>
      </c>
      <c r="V147" s="599"/>
      <c r="W147" s="599"/>
      <c r="X147" s="599"/>
      <c r="Y147" s="599"/>
      <c r="Z147" s="599"/>
      <c r="AA147" s="78">
        <f>SUM(AA9:AA146)</f>
        <v>13733.079118698233</v>
      </c>
      <c r="AB147" s="599" t="s">
        <v>329</v>
      </c>
      <c r="AC147" s="599"/>
      <c r="AD147" s="599"/>
      <c r="AE147" s="599"/>
      <c r="AF147" s="599"/>
      <c r="AG147" s="599"/>
      <c r="AH147" s="78">
        <f>SUM(AH9:AH146)</f>
        <v>17164.112438403194</v>
      </c>
      <c r="AI147" s="599" t="s">
        <v>330</v>
      </c>
      <c r="AJ147" s="599"/>
      <c r="AK147" s="599"/>
      <c r="AL147" s="599"/>
      <c r="AM147" s="599"/>
      <c r="AN147" s="599"/>
      <c r="AO147" s="78">
        <f>SUM(AO9:AO146)</f>
        <v>11728.694812336102</v>
      </c>
    </row>
    <row r="150" spans="1:41" x14ac:dyDescent="0.2">
      <c r="N150" s="104"/>
      <c r="U150" s="104"/>
    </row>
    <row r="151" spans="1:41" x14ac:dyDescent="0.2">
      <c r="N151" s="104"/>
      <c r="U151" s="104"/>
    </row>
    <row r="152" spans="1:41" x14ac:dyDescent="0.2">
      <c r="N152" s="104"/>
      <c r="U152" s="104"/>
    </row>
    <row r="153" spans="1:41" x14ac:dyDescent="0.2">
      <c r="N153" s="104"/>
      <c r="U153" s="104"/>
    </row>
    <row r="154" spans="1:41" x14ac:dyDescent="0.2">
      <c r="N154" s="104"/>
      <c r="U154" s="104"/>
    </row>
    <row r="155" spans="1:41" x14ac:dyDescent="0.2">
      <c r="N155" s="104"/>
      <c r="U155" s="104"/>
    </row>
    <row r="156" spans="1:41" x14ac:dyDescent="0.2">
      <c r="N156" s="104"/>
      <c r="U156" s="104"/>
    </row>
    <row r="157" spans="1:41" x14ac:dyDescent="0.2">
      <c r="N157" s="104"/>
      <c r="U157" s="104"/>
    </row>
    <row r="158" spans="1:41" x14ac:dyDescent="0.2">
      <c r="N158" s="104"/>
      <c r="U158" s="104"/>
    </row>
    <row r="159" spans="1:41" x14ac:dyDescent="0.2">
      <c r="N159" s="104"/>
      <c r="U159" s="104"/>
    </row>
    <row r="160" spans="1:41" x14ac:dyDescent="0.2">
      <c r="N160" s="104"/>
      <c r="U160" s="104"/>
    </row>
    <row r="161" spans="14:21" x14ac:dyDescent="0.2">
      <c r="N161" s="104"/>
      <c r="U161" s="104"/>
    </row>
    <row r="162" spans="14:21" x14ac:dyDescent="0.2">
      <c r="N162" s="104"/>
      <c r="U162" s="104"/>
    </row>
    <row r="163" spans="14:21" x14ac:dyDescent="0.2">
      <c r="N163" s="104"/>
      <c r="U163" s="104"/>
    </row>
    <row r="164" spans="14:21" x14ac:dyDescent="0.2">
      <c r="N164" s="104"/>
      <c r="U164" s="104"/>
    </row>
  </sheetData>
  <mergeCells count="97">
    <mergeCell ref="A113:A128"/>
    <mergeCell ref="B113:B128"/>
    <mergeCell ref="C113:C128"/>
    <mergeCell ref="C132:C146"/>
    <mergeCell ref="B132:B146"/>
    <mergeCell ref="A132:A146"/>
    <mergeCell ref="A30:A35"/>
    <mergeCell ref="B30:B35"/>
    <mergeCell ref="C30:C35"/>
    <mergeCell ref="A36:A40"/>
    <mergeCell ref="B36:B40"/>
    <mergeCell ref="C36:C40"/>
    <mergeCell ref="A5:A7"/>
    <mergeCell ref="B5:B7"/>
    <mergeCell ref="A9:A29"/>
    <mergeCell ref="B9:B29"/>
    <mergeCell ref="C9:C29"/>
    <mergeCell ref="AI147:AN147"/>
    <mergeCell ref="C5:C7"/>
    <mergeCell ref="E5:E7"/>
    <mergeCell ref="G147:L147"/>
    <mergeCell ref="N147:S147"/>
    <mergeCell ref="U147:Z147"/>
    <mergeCell ref="N5:T5"/>
    <mergeCell ref="G5:M5"/>
    <mergeCell ref="U5:AA5"/>
    <mergeCell ref="AB5:AH5"/>
    <mergeCell ref="AI5:AO5"/>
    <mergeCell ref="C41:C43"/>
    <mergeCell ref="C45:C49"/>
    <mergeCell ref="E113:E128"/>
    <mergeCell ref="D5:D7"/>
    <mergeCell ref="F5:F7"/>
    <mergeCell ref="AB147:AG147"/>
    <mergeCell ref="E45:E49"/>
    <mergeCell ref="D41:D43"/>
    <mergeCell ref="E41:E43"/>
    <mergeCell ref="D113:D128"/>
    <mergeCell ref="D45:D49"/>
    <mergeCell ref="E132:E146"/>
    <mergeCell ref="D132:D146"/>
    <mergeCell ref="C50:C51"/>
    <mergeCell ref="D50:D51"/>
    <mergeCell ref="E50:E51"/>
    <mergeCell ref="D9:D29"/>
    <mergeCell ref="E9:E29"/>
    <mergeCell ref="D30:D35"/>
    <mergeCell ref="E30:E35"/>
    <mergeCell ref="D36:D40"/>
    <mergeCell ref="E36:E40"/>
    <mergeCell ref="A41:A43"/>
    <mergeCell ref="B41:B43"/>
    <mergeCell ref="A45:A49"/>
    <mergeCell ref="B45:B49"/>
    <mergeCell ref="A52:A53"/>
    <mergeCell ref="B52:B53"/>
    <mergeCell ref="A50:A51"/>
    <mergeCell ref="B50:B51"/>
    <mergeCell ref="C52:C53"/>
    <mergeCell ref="D52:D53"/>
    <mergeCell ref="E52:E53"/>
    <mergeCell ref="A54:A67"/>
    <mergeCell ref="B54:B67"/>
    <mergeCell ref="C54:C67"/>
    <mergeCell ref="D54:D67"/>
    <mergeCell ref="E54:E67"/>
    <mergeCell ref="A68:A75"/>
    <mergeCell ref="B68:B75"/>
    <mergeCell ref="C68:C75"/>
    <mergeCell ref="D68:D75"/>
    <mergeCell ref="E68:E75"/>
    <mergeCell ref="A76:A90"/>
    <mergeCell ref="B76:B90"/>
    <mergeCell ref="C76:C90"/>
    <mergeCell ref="D76:D90"/>
    <mergeCell ref="E76:E90"/>
    <mergeCell ref="A92:A97"/>
    <mergeCell ref="B92:B97"/>
    <mergeCell ref="C92:C97"/>
    <mergeCell ref="D92:D97"/>
    <mergeCell ref="E92:E97"/>
    <mergeCell ref="A1:F1"/>
    <mergeCell ref="A108:A111"/>
    <mergeCell ref="B108:B111"/>
    <mergeCell ref="C108:C111"/>
    <mergeCell ref="D108:D111"/>
    <mergeCell ref="E108:E111"/>
    <mergeCell ref="A102:A107"/>
    <mergeCell ref="B102:B107"/>
    <mergeCell ref="C102:C107"/>
    <mergeCell ref="D102:D107"/>
    <mergeCell ref="E102:E107"/>
    <mergeCell ref="A98:A101"/>
    <mergeCell ref="B98:B101"/>
    <mergeCell ref="C98:C101"/>
    <mergeCell ref="D98:D101"/>
    <mergeCell ref="E98:E101"/>
  </mergeCells>
  <pageMargins left="0.7" right="0.7" top="0.75" bottom="0.75" header="0.3" footer="0.3"/>
  <pageSetup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D7151-A99C-4266-8193-217A11A66F56}">
  <dimension ref="A1:U73"/>
  <sheetViews>
    <sheetView workbookViewId="0">
      <selection activeCell="D20" sqref="D20"/>
    </sheetView>
  </sheetViews>
  <sheetFormatPr baseColWidth="10" defaultColWidth="8.83203125" defaultRowHeight="15" x14ac:dyDescent="0.2"/>
  <cols>
    <col min="1" max="1" width="8.83203125" style="11"/>
    <col min="2" max="3" width="11.1640625" customWidth="1"/>
    <col min="4" max="4" width="15.1640625" customWidth="1"/>
    <col min="5" max="5" width="18.83203125" customWidth="1"/>
    <col min="6" max="7" width="8.1640625" customWidth="1"/>
    <col min="8" max="8" width="7.33203125" style="11" customWidth="1"/>
    <col min="9" max="9" width="8.33203125" customWidth="1"/>
    <col min="10" max="10" width="8.83203125" customWidth="1"/>
    <col min="11" max="11" width="9" customWidth="1"/>
    <col min="12" max="12" width="18.1640625" customWidth="1"/>
    <col min="13" max="13" width="13.33203125" customWidth="1"/>
    <col min="14" max="14" width="18.6640625" customWidth="1"/>
    <col min="15" max="15" width="20.83203125" customWidth="1"/>
    <col min="16" max="18" width="18.6640625" customWidth="1"/>
    <col min="19" max="19" width="18.1640625" customWidth="1"/>
    <col min="20" max="20" width="18.33203125" customWidth="1"/>
    <col min="21" max="21" width="18.5" customWidth="1"/>
  </cols>
  <sheetData>
    <row r="1" spans="1:21" x14ac:dyDescent="0.2">
      <c r="A1" s="547" t="s">
        <v>415</v>
      </c>
      <c r="B1" s="547"/>
      <c r="C1" s="547"/>
      <c r="D1" s="547"/>
      <c r="E1" s="547"/>
      <c r="F1" s="547"/>
    </row>
    <row r="2" spans="1:21" x14ac:dyDescent="0.2">
      <c r="A2" s="108" t="s">
        <v>416</v>
      </c>
      <c r="B2" s="108">
        <v>2710</v>
      </c>
      <c r="E2" s="11"/>
    </row>
    <row r="3" spans="1:21" x14ac:dyDescent="0.2">
      <c r="A3" s="108" t="s">
        <v>417</v>
      </c>
      <c r="B3" s="108">
        <v>6</v>
      </c>
      <c r="E3" s="11"/>
    </row>
    <row r="5" spans="1:21" ht="51.5" customHeight="1" x14ac:dyDescent="0.2">
      <c r="A5" s="504" t="s">
        <v>93</v>
      </c>
      <c r="B5" s="504" t="s">
        <v>94</v>
      </c>
      <c r="C5" s="65" t="s">
        <v>117</v>
      </c>
      <c r="D5" s="65"/>
      <c r="E5" s="504" t="s">
        <v>95</v>
      </c>
      <c r="F5" s="12" t="s">
        <v>325</v>
      </c>
      <c r="G5" s="12" t="s">
        <v>96</v>
      </c>
      <c r="H5" s="12" t="s">
        <v>96</v>
      </c>
      <c r="I5" s="12" t="s">
        <v>97</v>
      </c>
      <c r="J5" s="12" t="s">
        <v>98</v>
      </c>
      <c r="K5" s="12" t="s">
        <v>99</v>
      </c>
      <c r="L5" s="12" t="s">
        <v>105</v>
      </c>
      <c r="M5" s="12" t="s">
        <v>100</v>
      </c>
      <c r="N5" s="12" t="s">
        <v>107</v>
      </c>
      <c r="O5" s="12" t="s">
        <v>112</v>
      </c>
      <c r="P5" s="12" t="s">
        <v>109</v>
      </c>
      <c r="Q5" s="12" t="s">
        <v>322</v>
      </c>
      <c r="R5" s="12" t="s">
        <v>165</v>
      </c>
      <c r="S5" s="12" t="s">
        <v>166</v>
      </c>
      <c r="T5" s="12" t="s">
        <v>167</v>
      </c>
      <c r="U5" s="12" t="s">
        <v>168</v>
      </c>
    </row>
    <row r="6" spans="1:21" ht="22.25" customHeight="1" x14ac:dyDescent="0.2">
      <c r="A6" s="505"/>
      <c r="B6" s="505"/>
      <c r="C6" s="119"/>
      <c r="D6" s="119"/>
      <c r="E6" s="505"/>
      <c r="F6" s="13" t="s">
        <v>324</v>
      </c>
      <c r="G6" s="62"/>
      <c r="H6" s="506" t="s">
        <v>111</v>
      </c>
      <c r="I6" s="604"/>
      <c r="J6" s="605"/>
      <c r="K6" s="606"/>
      <c r="L6" s="13" t="s">
        <v>106</v>
      </c>
      <c r="M6" s="13" t="s">
        <v>101</v>
      </c>
      <c r="N6" s="13" t="s">
        <v>108</v>
      </c>
      <c r="O6" s="13" t="s">
        <v>113</v>
      </c>
      <c r="P6" s="37" t="s">
        <v>110</v>
      </c>
      <c r="Q6" s="72"/>
      <c r="R6" s="506" t="s">
        <v>114</v>
      </c>
      <c r="S6" s="603"/>
      <c r="T6" s="603"/>
      <c r="U6" s="603"/>
    </row>
    <row r="7" spans="1:21" ht="14.5" customHeight="1" x14ac:dyDescent="0.2">
      <c r="A7" s="14">
        <v>1</v>
      </c>
      <c r="B7" s="487">
        <f>Assumptions!D61</f>
        <v>183.761</v>
      </c>
      <c r="C7" s="15" t="s">
        <v>709</v>
      </c>
      <c r="D7" s="70"/>
      <c r="E7" s="61" t="s">
        <v>102</v>
      </c>
      <c r="F7" s="77">
        <f>PDB_Livestock!G3</f>
        <v>21</v>
      </c>
      <c r="G7" s="16">
        <f>PDB_Livestock!H3</f>
        <v>21</v>
      </c>
      <c r="H7" s="17">
        <f>PDB_Livestock!I3</f>
        <v>21</v>
      </c>
      <c r="I7" s="17">
        <f>PDB_Livestock!J3</f>
        <v>25</v>
      </c>
      <c r="J7" s="17">
        <f>PDB_Livestock!K3</f>
        <v>29</v>
      </c>
      <c r="K7" s="17">
        <f>PDB_Livestock!L3</f>
        <v>30</v>
      </c>
      <c r="L7" s="18">
        <f>Assumptions!E13</f>
        <v>46</v>
      </c>
      <c r="M7" s="16">
        <f>Assumptions!$E$12</f>
        <v>28</v>
      </c>
      <c r="N7" s="17">
        <f>Assumptions!$E$22</f>
        <v>365</v>
      </c>
      <c r="O7" s="17">
        <f>Assumptions!$E$33</f>
        <v>365</v>
      </c>
      <c r="P7" s="16">
        <f>(M7*F7*L7*N7)/(1000*365)</f>
        <v>27.047999999999998</v>
      </c>
      <c r="Q7" s="73">
        <f>(M7*G7*L7*O7)/(1000*365)</f>
        <v>27.047999999999998</v>
      </c>
      <c r="R7" s="73">
        <f>(M7*H7*L7*O7)/(1000*365)</f>
        <v>27.047999999999998</v>
      </c>
      <c r="S7" s="73">
        <f>(M7*I7*L7*O7)/(1000*365)</f>
        <v>32.200000000000003</v>
      </c>
      <c r="T7" s="73">
        <f>(M7*J7*L7*O7)/(1000*365)</f>
        <v>37.351999999999997</v>
      </c>
      <c r="U7" s="73">
        <f>(M7*K7*L7*O7)/(1000*365)</f>
        <v>38.64</v>
      </c>
    </row>
    <row r="8" spans="1:21" ht="16" x14ac:dyDescent="0.2">
      <c r="A8" s="19"/>
      <c r="B8" s="488"/>
      <c r="C8" s="20"/>
      <c r="D8" s="20"/>
      <c r="E8" s="61" t="s">
        <v>103</v>
      </c>
      <c r="F8" s="77">
        <f>PDB_Livestock!G4</f>
        <v>0</v>
      </c>
      <c r="G8" s="16">
        <f>PDB_Livestock!H4</f>
        <v>0</v>
      </c>
      <c r="H8" s="17">
        <f>PDB_Livestock!I4</f>
        <v>0</v>
      </c>
      <c r="I8" s="17">
        <f>PDB_Livestock!J4</f>
        <v>0</v>
      </c>
      <c r="J8" s="17">
        <f>PDB_Livestock!K4</f>
        <v>0</v>
      </c>
      <c r="K8" s="17">
        <f>PDB_Livestock!L4</f>
        <v>0</v>
      </c>
      <c r="L8" s="18">
        <f>Assumptions!E14</f>
        <v>5</v>
      </c>
      <c r="M8" s="16">
        <f>Assumptions!$E$12</f>
        <v>28</v>
      </c>
      <c r="N8" s="17">
        <f>Assumptions!$E$22</f>
        <v>365</v>
      </c>
      <c r="O8" s="17">
        <f>Assumptions!$E$33</f>
        <v>365</v>
      </c>
      <c r="P8" s="16">
        <f t="shared" ref="P8:P71" si="0">(M8*F8*L8*N8)/(1000*365)</f>
        <v>0</v>
      </c>
      <c r="Q8" s="73">
        <f t="shared" ref="Q8:Q71" si="1">(M8*G8*L8*O8)/(1000*365)</f>
        <v>0</v>
      </c>
      <c r="R8" s="73">
        <f t="shared" ref="R8:R71" si="2">(M8*H8*L8*O8)/(1000*365)</f>
        <v>0</v>
      </c>
      <c r="S8" s="73">
        <f t="shared" ref="S8:S71" si="3">(M8*I8*L8*O8)/(1000*365)</f>
        <v>0</v>
      </c>
      <c r="T8" s="73">
        <f t="shared" ref="T8:T71" si="4">(M8*J8*L8*O8)/(1000*365)</f>
        <v>0</v>
      </c>
      <c r="U8" s="73">
        <f t="shared" ref="U8:U9" si="5">(M8*K8*L8*O8)/(1000*365)</f>
        <v>0</v>
      </c>
    </row>
    <row r="9" spans="1:21" x14ac:dyDescent="0.2">
      <c r="A9" s="19"/>
      <c r="B9" s="488"/>
      <c r="C9" s="20"/>
      <c r="D9" s="20"/>
      <c r="E9" s="63" t="s">
        <v>321</v>
      </c>
      <c r="F9" s="77">
        <f>PDB_Livestock!G5</f>
        <v>130</v>
      </c>
      <c r="G9" s="16">
        <f>PDB_Livestock!H5</f>
        <v>180</v>
      </c>
      <c r="H9" s="17">
        <f>PDB_Livestock!I5</f>
        <v>205</v>
      </c>
      <c r="I9" s="17">
        <f>PDB_Livestock!J5</f>
        <v>156</v>
      </c>
      <c r="J9" s="17">
        <f>PDB_Livestock!K5</f>
        <v>161</v>
      </c>
      <c r="K9" s="17">
        <f>PDB_Livestock!L5</f>
        <v>167</v>
      </c>
      <c r="L9" s="18">
        <f>Assumptions!E15</f>
        <v>31</v>
      </c>
      <c r="M9" s="16">
        <f>Assumptions!$E$12</f>
        <v>28</v>
      </c>
      <c r="N9" s="17">
        <f>Assumptions!$E$22</f>
        <v>365</v>
      </c>
      <c r="O9" s="17">
        <f>Assumptions!$E$33</f>
        <v>365</v>
      </c>
      <c r="P9" s="16">
        <f t="shared" si="0"/>
        <v>112.84</v>
      </c>
      <c r="Q9" s="73">
        <f t="shared" si="1"/>
        <v>156.24</v>
      </c>
      <c r="R9" s="73">
        <f t="shared" si="2"/>
        <v>177.94</v>
      </c>
      <c r="S9" s="73">
        <f t="shared" si="3"/>
        <v>135.40799999999999</v>
      </c>
      <c r="T9" s="73">
        <f t="shared" si="4"/>
        <v>139.74799999999999</v>
      </c>
      <c r="U9" s="73">
        <f t="shared" si="5"/>
        <v>144.95599999999999</v>
      </c>
    </row>
    <row r="10" spans="1:21" ht="16" x14ac:dyDescent="0.2">
      <c r="A10" s="21">
        <v>2</v>
      </c>
      <c r="B10" s="489">
        <f>Assumptions!D62</f>
        <v>6772.8780000000015</v>
      </c>
      <c r="C10" s="139"/>
      <c r="D10" s="140"/>
      <c r="E10" s="64" t="s">
        <v>102</v>
      </c>
      <c r="F10" s="137">
        <f>PDB_Livestock!G6</f>
        <v>134</v>
      </c>
      <c r="G10" s="128">
        <f>PDB_Livestock!H6</f>
        <v>140</v>
      </c>
      <c r="H10" s="138">
        <f>PDB_Livestock!I6</f>
        <v>140</v>
      </c>
      <c r="I10" s="138">
        <f>PDB_Livestock!J6</f>
        <v>140</v>
      </c>
      <c r="J10" s="138">
        <f>PDB_Livestock!K6</f>
        <v>140</v>
      </c>
      <c r="K10" s="138">
        <f>PDB_Livestock!L6</f>
        <v>140</v>
      </c>
      <c r="L10" s="24">
        <f>Assumptions!E13</f>
        <v>46</v>
      </c>
      <c r="M10" s="22">
        <f>Assumptions!$E$12</f>
        <v>28</v>
      </c>
      <c r="N10" s="138">
        <f>Assumptions!$E$22</f>
        <v>365</v>
      </c>
      <c r="O10" s="138">
        <f>Assumptions!$E$33</f>
        <v>365</v>
      </c>
      <c r="P10" s="22">
        <f t="shared" si="0"/>
        <v>172.59200000000001</v>
      </c>
      <c r="Q10" s="106">
        <f t="shared" si="1"/>
        <v>180.32</v>
      </c>
      <c r="R10" s="106">
        <f t="shared" si="2"/>
        <v>180.32</v>
      </c>
      <c r="S10" s="106">
        <f t="shared" si="3"/>
        <v>180.32</v>
      </c>
      <c r="T10" s="106">
        <f t="shared" si="4"/>
        <v>180.32</v>
      </c>
      <c r="U10" s="106">
        <f>(M10*K10*L10*O10)/(1000*365)</f>
        <v>180.32</v>
      </c>
    </row>
    <row r="11" spans="1:21" ht="16" x14ac:dyDescent="0.2">
      <c r="A11" s="21"/>
      <c r="B11" s="490"/>
      <c r="C11" s="25"/>
      <c r="D11" s="25"/>
      <c r="E11" s="64" t="s">
        <v>103</v>
      </c>
      <c r="F11" s="137">
        <f>PDB_Livestock!G7</f>
        <v>2753.3333333333335</v>
      </c>
      <c r="G11" s="128">
        <f>PDB_Livestock!H7</f>
        <v>2849</v>
      </c>
      <c r="H11" s="138">
        <f>PDB_Livestock!I7</f>
        <v>2849</v>
      </c>
      <c r="I11" s="138">
        <f>PDB_Livestock!J7</f>
        <v>2849</v>
      </c>
      <c r="J11" s="138">
        <f>PDB_Livestock!K7</f>
        <v>2849</v>
      </c>
      <c r="K11" s="138">
        <f>PDB_Livestock!L7</f>
        <v>2849</v>
      </c>
      <c r="L11" s="24">
        <f>Assumptions!E14</f>
        <v>5</v>
      </c>
      <c r="M11" s="22">
        <f>Assumptions!$E$12</f>
        <v>28</v>
      </c>
      <c r="N11" s="138">
        <f>Assumptions!$E$22</f>
        <v>365</v>
      </c>
      <c r="O11" s="138">
        <f>Assumptions!$E$33</f>
        <v>365</v>
      </c>
      <c r="P11" s="22">
        <f t="shared" si="0"/>
        <v>385.46666666666675</v>
      </c>
      <c r="Q11" s="106">
        <f t="shared" si="1"/>
        <v>398.86</v>
      </c>
      <c r="R11" s="106">
        <f t="shared" si="2"/>
        <v>398.86</v>
      </c>
      <c r="S11" s="106">
        <f t="shared" si="3"/>
        <v>398.86</v>
      </c>
      <c r="T11" s="106">
        <f t="shared" si="4"/>
        <v>398.86</v>
      </c>
      <c r="U11" s="106">
        <f t="shared" ref="U11:U72" si="6">(M11*K11*L11*O11)/(1000*365)</f>
        <v>398.86</v>
      </c>
    </row>
    <row r="12" spans="1:21" ht="16" x14ac:dyDescent="0.2">
      <c r="A12" s="21"/>
      <c r="B12" s="490"/>
      <c r="C12" s="25"/>
      <c r="D12" s="25"/>
      <c r="E12" s="64" t="s">
        <v>321</v>
      </c>
      <c r="F12" s="137">
        <f>PDB_Livestock!G8</f>
        <v>37</v>
      </c>
      <c r="G12" s="128">
        <f>PDB_Livestock!H8</f>
        <v>40</v>
      </c>
      <c r="H12" s="138">
        <f>PDB_Livestock!I8</f>
        <v>40</v>
      </c>
      <c r="I12" s="138">
        <f>PDB_Livestock!J8</f>
        <v>40</v>
      </c>
      <c r="J12" s="138">
        <f>PDB_Livestock!K8</f>
        <v>40</v>
      </c>
      <c r="K12" s="138">
        <f>PDB_Livestock!L8</f>
        <v>40</v>
      </c>
      <c r="L12" s="24">
        <f>Assumptions!E15</f>
        <v>31</v>
      </c>
      <c r="M12" s="22">
        <f>Assumptions!$E$12</f>
        <v>28</v>
      </c>
      <c r="N12" s="138">
        <f>Assumptions!$E$22</f>
        <v>365</v>
      </c>
      <c r="O12" s="138">
        <f>Assumptions!$E$33</f>
        <v>365</v>
      </c>
      <c r="P12" s="22">
        <f t="shared" si="0"/>
        <v>32.116</v>
      </c>
      <c r="Q12" s="106">
        <f t="shared" si="1"/>
        <v>34.72</v>
      </c>
      <c r="R12" s="106">
        <f t="shared" si="2"/>
        <v>34.72</v>
      </c>
      <c r="S12" s="106">
        <f t="shared" si="3"/>
        <v>34.72</v>
      </c>
      <c r="T12" s="106">
        <f t="shared" si="4"/>
        <v>34.72</v>
      </c>
      <c r="U12" s="106">
        <f t="shared" si="6"/>
        <v>34.72</v>
      </c>
    </row>
    <row r="13" spans="1:21" ht="16" x14ac:dyDescent="0.2">
      <c r="A13" s="26">
        <v>3</v>
      </c>
      <c r="B13" s="491">
        <f>Assumptions!D63</f>
        <v>4319.8270000000002</v>
      </c>
      <c r="C13" s="71"/>
      <c r="D13" s="70"/>
      <c r="E13" s="61" t="s">
        <v>102</v>
      </c>
      <c r="F13" s="77">
        <f>PDB_Livestock!G9</f>
        <v>85</v>
      </c>
      <c r="G13" s="16">
        <f>PDB_Livestock!H9</f>
        <v>171</v>
      </c>
      <c r="H13" s="17">
        <f>PDB_Livestock!I9</f>
        <v>171</v>
      </c>
      <c r="I13" s="17">
        <f>PDB_Livestock!J9</f>
        <v>197</v>
      </c>
      <c r="J13" s="17">
        <f>PDB_Livestock!K9</f>
        <v>198</v>
      </c>
      <c r="K13" s="17">
        <f>PDB_Livestock!L9</f>
        <v>178</v>
      </c>
      <c r="L13" s="18">
        <f>Assumptions!E13</f>
        <v>46</v>
      </c>
      <c r="M13" s="16">
        <f>Assumptions!$E$12</f>
        <v>28</v>
      </c>
      <c r="N13" s="17">
        <f>Assumptions!$E$22</f>
        <v>365</v>
      </c>
      <c r="O13" s="17">
        <f>Assumptions!$E$33</f>
        <v>365</v>
      </c>
      <c r="P13" s="16">
        <f t="shared" si="0"/>
        <v>109.48</v>
      </c>
      <c r="Q13" s="73">
        <f t="shared" si="1"/>
        <v>220.24799999999999</v>
      </c>
      <c r="R13" s="73">
        <f t="shared" si="2"/>
        <v>220.24799999999999</v>
      </c>
      <c r="S13" s="73">
        <f t="shared" si="3"/>
        <v>253.73599999999999</v>
      </c>
      <c r="T13" s="73">
        <f t="shared" si="4"/>
        <v>255.024</v>
      </c>
      <c r="U13" s="73">
        <f t="shared" si="6"/>
        <v>229.26400000000001</v>
      </c>
    </row>
    <row r="14" spans="1:21" ht="16" x14ac:dyDescent="0.2">
      <c r="A14" s="27"/>
      <c r="B14" s="488"/>
      <c r="C14" s="20"/>
      <c r="D14" s="20"/>
      <c r="E14" s="61" t="s">
        <v>103</v>
      </c>
      <c r="F14" s="77">
        <f>PDB_Livestock!G10</f>
        <v>1329.3333333333333</v>
      </c>
      <c r="G14" s="16">
        <f>PDB_Livestock!H10</f>
        <v>1355</v>
      </c>
      <c r="H14" s="17">
        <f>PDB_Livestock!I10</f>
        <v>1316</v>
      </c>
      <c r="I14" s="17">
        <f>PDB_Livestock!J10</f>
        <v>1246</v>
      </c>
      <c r="J14" s="17">
        <f>PDB_Livestock!K10</f>
        <v>1103</v>
      </c>
      <c r="K14" s="17">
        <f>PDB_Livestock!L10</f>
        <v>1257</v>
      </c>
      <c r="L14" s="18">
        <f>Assumptions!E14</f>
        <v>5</v>
      </c>
      <c r="M14" s="16">
        <f>Assumptions!$E$12</f>
        <v>28</v>
      </c>
      <c r="N14" s="17">
        <f>Assumptions!$E$22</f>
        <v>365</v>
      </c>
      <c r="O14" s="17">
        <f>Assumptions!$E$33</f>
        <v>365</v>
      </c>
      <c r="P14" s="16">
        <f t="shared" si="0"/>
        <v>186.1066666666666</v>
      </c>
      <c r="Q14" s="73">
        <f t="shared" si="1"/>
        <v>189.7</v>
      </c>
      <c r="R14" s="73">
        <f t="shared" si="2"/>
        <v>184.24</v>
      </c>
      <c r="S14" s="73">
        <f t="shared" si="3"/>
        <v>174.44</v>
      </c>
      <c r="T14" s="73">
        <f t="shared" si="4"/>
        <v>154.41999999999999</v>
      </c>
      <c r="U14" s="73">
        <f t="shared" si="6"/>
        <v>175.98</v>
      </c>
    </row>
    <row r="15" spans="1:21" x14ac:dyDescent="0.2">
      <c r="A15" s="27"/>
      <c r="B15" s="488"/>
      <c r="C15" s="20"/>
      <c r="D15" s="20"/>
      <c r="E15" s="63" t="s">
        <v>321</v>
      </c>
      <c r="F15" s="77">
        <f>PDB_Livestock!G11</f>
        <v>225</v>
      </c>
      <c r="G15" s="16">
        <f>PDB_Livestock!H11</f>
        <v>343</v>
      </c>
      <c r="H15" s="17">
        <f>PDB_Livestock!I11</f>
        <v>294</v>
      </c>
      <c r="I15" s="17">
        <f>PDB_Livestock!J11</f>
        <v>272</v>
      </c>
      <c r="J15" s="17">
        <f>PDB_Livestock!K11</f>
        <v>273</v>
      </c>
      <c r="K15" s="17">
        <f>PDB_Livestock!L11</f>
        <v>132</v>
      </c>
      <c r="L15" s="18">
        <f>Assumptions!E15</f>
        <v>31</v>
      </c>
      <c r="M15" s="16">
        <f>Assumptions!$E$12</f>
        <v>28</v>
      </c>
      <c r="N15" s="17">
        <f>Assumptions!$E$22</f>
        <v>365</v>
      </c>
      <c r="O15" s="17">
        <f>Assumptions!$E$33</f>
        <v>365</v>
      </c>
      <c r="P15" s="16">
        <f t="shared" si="0"/>
        <v>195.3</v>
      </c>
      <c r="Q15" s="73">
        <f t="shared" si="1"/>
        <v>297.72399999999999</v>
      </c>
      <c r="R15" s="73">
        <f t="shared" si="2"/>
        <v>255.19200000000001</v>
      </c>
      <c r="S15" s="73">
        <f t="shared" si="3"/>
        <v>236.096</v>
      </c>
      <c r="T15" s="73">
        <f t="shared" si="4"/>
        <v>236.964</v>
      </c>
      <c r="U15" s="73">
        <f t="shared" si="6"/>
        <v>114.57599999999999</v>
      </c>
    </row>
    <row r="16" spans="1:21" ht="16" x14ac:dyDescent="0.2">
      <c r="A16" s="28">
        <v>4</v>
      </c>
      <c r="B16" s="489">
        <f>Assumptions!D64</f>
        <v>1612.0500000000002</v>
      </c>
      <c r="C16" s="139"/>
      <c r="D16" s="140"/>
      <c r="E16" s="64" t="s">
        <v>102</v>
      </c>
      <c r="F16" s="137">
        <f>PDB_Livestock!G12</f>
        <v>276.66666666666669</v>
      </c>
      <c r="G16" s="128">
        <f>PDB_Livestock!H12</f>
        <v>301</v>
      </c>
      <c r="H16" s="138">
        <f>PDB_Livestock!I12</f>
        <v>301</v>
      </c>
      <c r="I16" s="138">
        <f>PDB_Livestock!J12</f>
        <v>301</v>
      </c>
      <c r="J16" s="138">
        <f>PDB_Livestock!K12</f>
        <v>301</v>
      </c>
      <c r="K16" s="138">
        <f>PDB_Livestock!L12</f>
        <v>301</v>
      </c>
      <c r="L16" s="24">
        <f>Assumptions!E13</f>
        <v>46</v>
      </c>
      <c r="M16" s="22">
        <f>Assumptions!$E$12</f>
        <v>28</v>
      </c>
      <c r="N16" s="138">
        <f>Assumptions!$E$22</f>
        <v>365</v>
      </c>
      <c r="O16" s="138">
        <f>Assumptions!$E$33</f>
        <v>365</v>
      </c>
      <c r="P16" s="22">
        <f t="shared" si="0"/>
        <v>356.34666666666669</v>
      </c>
      <c r="Q16" s="106">
        <f t="shared" si="1"/>
        <v>387.68799999999999</v>
      </c>
      <c r="R16" s="106">
        <f t="shared" si="2"/>
        <v>387.68799999999999</v>
      </c>
      <c r="S16" s="106">
        <f t="shared" si="3"/>
        <v>387.68799999999999</v>
      </c>
      <c r="T16" s="106">
        <f t="shared" si="4"/>
        <v>387.68799999999999</v>
      </c>
      <c r="U16" s="106">
        <f t="shared" si="6"/>
        <v>387.68799999999999</v>
      </c>
    </row>
    <row r="17" spans="1:21" ht="16" x14ac:dyDescent="0.2">
      <c r="A17" s="29"/>
      <c r="B17" s="490"/>
      <c r="C17" s="25"/>
      <c r="D17" s="25"/>
      <c r="E17" s="64" t="s">
        <v>103</v>
      </c>
      <c r="F17" s="137">
        <f>PDB_Livestock!G13</f>
        <v>0</v>
      </c>
      <c r="G17" s="128">
        <f>PDB_Livestock!H13</f>
        <v>0</v>
      </c>
      <c r="H17" s="138">
        <f>PDB_Livestock!I13</f>
        <v>0</v>
      </c>
      <c r="I17" s="138">
        <f>PDB_Livestock!J13</f>
        <v>0</v>
      </c>
      <c r="J17" s="138">
        <f>PDB_Livestock!K13</f>
        <v>0</v>
      </c>
      <c r="K17" s="138">
        <f>PDB_Livestock!L13</f>
        <v>0</v>
      </c>
      <c r="L17" s="24">
        <f>Assumptions!E14</f>
        <v>5</v>
      </c>
      <c r="M17" s="22">
        <f>Assumptions!$E$12</f>
        <v>28</v>
      </c>
      <c r="N17" s="138">
        <f>Assumptions!$E$22</f>
        <v>365</v>
      </c>
      <c r="O17" s="138">
        <f>Assumptions!$E$33</f>
        <v>365</v>
      </c>
      <c r="P17" s="22">
        <f t="shared" si="0"/>
        <v>0</v>
      </c>
      <c r="Q17" s="106">
        <f t="shared" si="1"/>
        <v>0</v>
      </c>
      <c r="R17" s="106">
        <f t="shared" si="2"/>
        <v>0</v>
      </c>
      <c r="S17" s="106">
        <f t="shared" si="3"/>
        <v>0</v>
      </c>
      <c r="T17" s="106">
        <f t="shared" si="4"/>
        <v>0</v>
      </c>
      <c r="U17" s="106">
        <f t="shared" si="6"/>
        <v>0</v>
      </c>
    </row>
    <row r="18" spans="1:21" ht="16" x14ac:dyDescent="0.2">
      <c r="A18" s="29"/>
      <c r="B18" s="490"/>
      <c r="C18" s="25"/>
      <c r="D18" s="25"/>
      <c r="E18" s="64" t="s">
        <v>321</v>
      </c>
      <c r="F18" s="137">
        <f>PDB_Livestock!G14</f>
        <v>455</v>
      </c>
      <c r="G18" s="128">
        <f>PDB_Livestock!H14</f>
        <v>446</v>
      </c>
      <c r="H18" s="138">
        <f>PDB_Livestock!I14</f>
        <v>446</v>
      </c>
      <c r="I18" s="138">
        <f>PDB_Livestock!J14</f>
        <v>446</v>
      </c>
      <c r="J18" s="138">
        <f>PDB_Livestock!K14</f>
        <v>446</v>
      </c>
      <c r="K18" s="138">
        <f>PDB_Livestock!L14</f>
        <v>500</v>
      </c>
      <c r="L18" s="24">
        <f>Assumptions!E15</f>
        <v>31</v>
      </c>
      <c r="M18" s="22">
        <f>Assumptions!$E$12</f>
        <v>28</v>
      </c>
      <c r="N18" s="138">
        <f>Assumptions!$E$22</f>
        <v>365</v>
      </c>
      <c r="O18" s="138">
        <f>Assumptions!$E$33</f>
        <v>365</v>
      </c>
      <c r="P18" s="22">
        <f t="shared" si="0"/>
        <v>394.94</v>
      </c>
      <c r="Q18" s="106">
        <f t="shared" si="1"/>
        <v>387.12799999999999</v>
      </c>
      <c r="R18" s="106">
        <f t="shared" si="2"/>
        <v>387.12799999999999</v>
      </c>
      <c r="S18" s="106">
        <f t="shared" si="3"/>
        <v>387.12799999999999</v>
      </c>
      <c r="T18" s="106">
        <f t="shared" si="4"/>
        <v>387.12799999999999</v>
      </c>
      <c r="U18" s="106">
        <f t="shared" si="6"/>
        <v>434</v>
      </c>
    </row>
    <row r="19" spans="1:21" ht="16" x14ac:dyDescent="0.2">
      <c r="A19" s="27">
        <v>5</v>
      </c>
      <c r="B19" s="488">
        <f>Assumptions!D65</f>
        <v>353.58800000000002</v>
      </c>
      <c r="C19" s="71"/>
      <c r="D19" s="70"/>
      <c r="E19" s="61" t="s">
        <v>102</v>
      </c>
      <c r="F19" s="77">
        <f>PDB_Livestock!G15</f>
        <v>174.33333333333334</v>
      </c>
      <c r="G19" s="16">
        <f>PDB_Livestock!H15</f>
        <v>181</v>
      </c>
      <c r="H19" s="17">
        <f>PDB_Livestock!I15</f>
        <v>181</v>
      </c>
      <c r="I19" s="17">
        <f>PDB_Livestock!J15</f>
        <v>181</v>
      </c>
      <c r="J19" s="17">
        <f>PDB_Livestock!K15</f>
        <v>181</v>
      </c>
      <c r="K19" s="17">
        <f>PDB_Livestock!L15</f>
        <v>181</v>
      </c>
      <c r="L19" s="18">
        <f>Assumptions!E13</f>
        <v>46</v>
      </c>
      <c r="M19" s="16">
        <f>Assumptions!$E$12</f>
        <v>28</v>
      </c>
      <c r="N19" s="17">
        <f>Assumptions!$E$22</f>
        <v>365</v>
      </c>
      <c r="O19" s="17">
        <f>Assumptions!$E$33</f>
        <v>365</v>
      </c>
      <c r="P19" s="16">
        <f t="shared" si="0"/>
        <v>224.5413333333334</v>
      </c>
      <c r="Q19" s="73">
        <f t="shared" si="1"/>
        <v>233.12799999999999</v>
      </c>
      <c r="R19" s="73">
        <f t="shared" si="2"/>
        <v>233.12799999999999</v>
      </c>
      <c r="S19" s="73">
        <f t="shared" si="3"/>
        <v>233.12799999999999</v>
      </c>
      <c r="T19" s="73">
        <f t="shared" si="4"/>
        <v>233.12799999999999</v>
      </c>
      <c r="U19" s="73">
        <f t="shared" si="6"/>
        <v>233.12799999999999</v>
      </c>
    </row>
    <row r="20" spans="1:21" ht="16" x14ac:dyDescent="0.2">
      <c r="A20" s="27"/>
      <c r="B20" s="488"/>
      <c r="C20" s="20"/>
      <c r="D20" s="20"/>
      <c r="E20" s="61" t="s">
        <v>103</v>
      </c>
      <c r="F20" s="77">
        <f>PDB_Livestock!G16</f>
        <v>0</v>
      </c>
      <c r="G20" s="16">
        <f>PDB_Livestock!H16</f>
        <v>0</v>
      </c>
      <c r="H20" s="17">
        <f>PDB_Livestock!I16</f>
        <v>0</v>
      </c>
      <c r="I20" s="17">
        <f>PDB_Livestock!J16</f>
        <v>0</v>
      </c>
      <c r="J20" s="17">
        <f>PDB_Livestock!K16</f>
        <v>0</v>
      </c>
      <c r="K20" s="17">
        <f>PDB_Livestock!L16</f>
        <v>0</v>
      </c>
      <c r="L20" s="18">
        <f>Assumptions!E14</f>
        <v>5</v>
      </c>
      <c r="M20" s="16">
        <f>Assumptions!$E$12</f>
        <v>28</v>
      </c>
      <c r="N20" s="17">
        <f>Assumptions!$E$22</f>
        <v>365</v>
      </c>
      <c r="O20" s="17">
        <f>Assumptions!$E$33</f>
        <v>365</v>
      </c>
      <c r="P20" s="16">
        <f t="shared" si="0"/>
        <v>0</v>
      </c>
      <c r="Q20" s="73">
        <f t="shared" si="1"/>
        <v>0</v>
      </c>
      <c r="R20" s="73">
        <f t="shared" si="2"/>
        <v>0</v>
      </c>
      <c r="S20" s="73">
        <f t="shared" si="3"/>
        <v>0</v>
      </c>
      <c r="T20" s="73">
        <f t="shared" si="4"/>
        <v>0</v>
      </c>
      <c r="U20" s="73">
        <f t="shared" si="6"/>
        <v>0</v>
      </c>
    </row>
    <row r="21" spans="1:21" x14ac:dyDescent="0.2">
      <c r="A21" s="27"/>
      <c r="B21" s="488"/>
      <c r="C21" s="20"/>
      <c r="D21" s="20"/>
      <c r="E21" s="63" t="s">
        <v>321</v>
      </c>
      <c r="F21" s="77">
        <f>PDB_Livestock!G17</f>
        <v>0</v>
      </c>
      <c r="G21" s="16">
        <f>PDB_Livestock!H17</f>
        <v>0</v>
      </c>
      <c r="H21" s="17">
        <f>PDB_Livestock!I17</f>
        <v>0</v>
      </c>
      <c r="I21" s="17">
        <f>PDB_Livestock!J17</f>
        <v>0</v>
      </c>
      <c r="J21" s="17">
        <f>PDB_Livestock!K17</f>
        <v>0</v>
      </c>
      <c r="K21" s="17">
        <f>PDB_Livestock!L17</f>
        <v>0</v>
      </c>
      <c r="L21" s="18">
        <f>Assumptions!E15</f>
        <v>31</v>
      </c>
      <c r="M21" s="16">
        <f>Assumptions!$E$12</f>
        <v>28</v>
      </c>
      <c r="N21" s="17">
        <f>Assumptions!$E$22</f>
        <v>365</v>
      </c>
      <c r="O21" s="17">
        <f>Assumptions!$E$33</f>
        <v>365</v>
      </c>
      <c r="P21" s="16">
        <f t="shared" si="0"/>
        <v>0</v>
      </c>
      <c r="Q21" s="73">
        <f t="shared" si="1"/>
        <v>0</v>
      </c>
      <c r="R21" s="73">
        <f t="shared" si="2"/>
        <v>0</v>
      </c>
      <c r="S21" s="73">
        <f t="shared" si="3"/>
        <v>0</v>
      </c>
      <c r="T21" s="73">
        <f t="shared" si="4"/>
        <v>0</v>
      </c>
      <c r="U21" s="73">
        <f t="shared" si="6"/>
        <v>0</v>
      </c>
    </row>
    <row r="22" spans="1:21" ht="16" x14ac:dyDescent="0.2">
      <c r="A22" s="30">
        <v>6</v>
      </c>
      <c r="B22" s="492">
        <f>Assumptions!D66</f>
        <v>4915.7929999999997</v>
      </c>
      <c r="C22" s="139"/>
      <c r="D22" s="140"/>
      <c r="E22" s="64" t="s">
        <v>102</v>
      </c>
      <c r="F22" s="137">
        <f>PDB_Livestock!G18</f>
        <v>0</v>
      </c>
      <c r="G22" s="128">
        <f>PDB_Livestock!H18</f>
        <v>0</v>
      </c>
      <c r="H22" s="138">
        <f>PDB_Livestock!I18</f>
        <v>0</v>
      </c>
      <c r="I22" s="138">
        <f>PDB_Livestock!J18</f>
        <v>0</v>
      </c>
      <c r="J22" s="138">
        <f>PDB_Livestock!K18</f>
        <v>0</v>
      </c>
      <c r="K22" s="138">
        <f>PDB_Livestock!L18</f>
        <v>0</v>
      </c>
      <c r="L22" s="24">
        <f>Assumptions!E13</f>
        <v>46</v>
      </c>
      <c r="M22" s="22">
        <f>Assumptions!$E$12</f>
        <v>28</v>
      </c>
      <c r="N22" s="138">
        <f>Assumptions!$E$22</f>
        <v>365</v>
      </c>
      <c r="O22" s="138">
        <f>Assumptions!$E$33</f>
        <v>365</v>
      </c>
      <c r="P22" s="22">
        <f t="shared" si="0"/>
        <v>0</v>
      </c>
      <c r="Q22" s="106">
        <f t="shared" si="1"/>
        <v>0</v>
      </c>
      <c r="R22" s="106">
        <f t="shared" si="2"/>
        <v>0</v>
      </c>
      <c r="S22" s="106">
        <f t="shared" si="3"/>
        <v>0</v>
      </c>
      <c r="T22" s="106">
        <f t="shared" si="4"/>
        <v>0</v>
      </c>
      <c r="U22" s="106">
        <f t="shared" si="6"/>
        <v>0</v>
      </c>
    </row>
    <row r="23" spans="1:21" ht="16" x14ac:dyDescent="0.2">
      <c r="A23" s="31"/>
      <c r="B23" s="493"/>
      <c r="C23" s="32"/>
      <c r="D23" s="32"/>
      <c r="E23" s="64" t="s">
        <v>103</v>
      </c>
      <c r="F23" s="137">
        <f>PDB_Livestock!G19</f>
        <v>0</v>
      </c>
      <c r="G23" s="128">
        <f>PDB_Livestock!H19</f>
        <v>0</v>
      </c>
      <c r="H23" s="138">
        <f>PDB_Livestock!I19</f>
        <v>0</v>
      </c>
      <c r="I23" s="138">
        <f>PDB_Livestock!J19</f>
        <v>0</v>
      </c>
      <c r="J23" s="138">
        <f>PDB_Livestock!K19</f>
        <v>0</v>
      </c>
      <c r="K23" s="138">
        <f>PDB_Livestock!L19</f>
        <v>0</v>
      </c>
      <c r="L23" s="24">
        <f>Assumptions!E14</f>
        <v>5</v>
      </c>
      <c r="M23" s="22">
        <f>Assumptions!$E$12</f>
        <v>28</v>
      </c>
      <c r="N23" s="138">
        <f>Assumptions!$E$22</f>
        <v>365</v>
      </c>
      <c r="O23" s="138">
        <f>Assumptions!$E$33</f>
        <v>365</v>
      </c>
      <c r="P23" s="22">
        <f t="shared" si="0"/>
        <v>0</v>
      </c>
      <c r="Q23" s="106">
        <f t="shared" si="1"/>
        <v>0</v>
      </c>
      <c r="R23" s="106">
        <f t="shared" si="2"/>
        <v>0</v>
      </c>
      <c r="S23" s="106">
        <f t="shared" si="3"/>
        <v>0</v>
      </c>
      <c r="T23" s="106">
        <f t="shared" si="4"/>
        <v>0</v>
      </c>
      <c r="U23" s="106">
        <f t="shared" si="6"/>
        <v>0</v>
      </c>
    </row>
    <row r="24" spans="1:21" ht="16" x14ac:dyDescent="0.2">
      <c r="A24" s="31"/>
      <c r="B24" s="493"/>
      <c r="C24" s="32"/>
      <c r="D24" s="32"/>
      <c r="E24" s="64" t="s">
        <v>321</v>
      </c>
      <c r="F24" s="137">
        <f>PDB_Livestock!G20</f>
        <v>497.33333333333331</v>
      </c>
      <c r="G24" s="128">
        <f>PDB_Livestock!H20</f>
        <v>504</v>
      </c>
      <c r="H24" s="138">
        <f>PDB_Livestock!I20</f>
        <v>663</v>
      </c>
      <c r="I24" s="138">
        <f>PDB_Livestock!J20</f>
        <v>742</v>
      </c>
      <c r="J24" s="138">
        <f>PDB_Livestock!K20</f>
        <v>505</v>
      </c>
      <c r="K24" s="138">
        <f>PDB_Livestock!L20</f>
        <v>559</v>
      </c>
      <c r="L24" s="24">
        <f>Assumptions!E15</f>
        <v>31</v>
      </c>
      <c r="M24" s="22">
        <f>Assumptions!$E$12</f>
        <v>28</v>
      </c>
      <c r="N24" s="138">
        <f>Assumptions!$E$22</f>
        <v>365</v>
      </c>
      <c r="O24" s="138">
        <f>Assumptions!$E$33</f>
        <v>365</v>
      </c>
      <c r="P24" s="22">
        <f t="shared" si="0"/>
        <v>431.68533333333329</v>
      </c>
      <c r="Q24" s="106">
        <f t="shared" si="1"/>
        <v>437.47199999999998</v>
      </c>
      <c r="R24" s="106">
        <f t="shared" si="2"/>
        <v>575.48400000000004</v>
      </c>
      <c r="S24" s="106">
        <f t="shared" si="3"/>
        <v>644.05600000000004</v>
      </c>
      <c r="T24" s="106">
        <f t="shared" si="4"/>
        <v>438.34</v>
      </c>
      <c r="U24" s="106">
        <f t="shared" si="6"/>
        <v>485.21199999999999</v>
      </c>
    </row>
    <row r="25" spans="1:21" ht="16" x14ac:dyDescent="0.2">
      <c r="A25" s="26">
        <v>7</v>
      </c>
      <c r="B25" s="491">
        <f>Assumptions!D67</f>
        <v>2549.9479999999994</v>
      </c>
      <c r="C25" s="71"/>
      <c r="D25" s="70"/>
      <c r="E25" s="61" t="s">
        <v>102</v>
      </c>
      <c r="F25" s="77">
        <f>PDB_Livestock!G21</f>
        <v>1503.3333333333333</v>
      </c>
      <c r="G25" s="16">
        <f>PDB_Livestock!H21</f>
        <v>1470</v>
      </c>
      <c r="H25" s="17">
        <f>PDB_Livestock!I21</f>
        <v>1470</v>
      </c>
      <c r="I25" s="17">
        <f>PDB_Livestock!J21</f>
        <v>1520</v>
      </c>
      <c r="J25" s="17">
        <f>PDB_Livestock!K21</f>
        <v>1560</v>
      </c>
      <c r="K25" s="17">
        <f>PDB_Livestock!L21</f>
        <v>1560</v>
      </c>
      <c r="L25" s="18">
        <f>Assumptions!E13</f>
        <v>46</v>
      </c>
      <c r="M25" s="16">
        <f>Assumptions!$E$12</f>
        <v>28</v>
      </c>
      <c r="N25" s="17">
        <f>Assumptions!$E$22</f>
        <v>365</v>
      </c>
      <c r="O25" s="17">
        <f>Assumptions!$E$33</f>
        <v>365</v>
      </c>
      <c r="P25" s="16">
        <f t="shared" si="0"/>
        <v>1936.2933333333328</v>
      </c>
      <c r="Q25" s="73">
        <f t="shared" si="1"/>
        <v>1893.36</v>
      </c>
      <c r="R25" s="73">
        <f t="shared" si="2"/>
        <v>1893.36</v>
      </c>
      <c r="S25" s="73">
        <f t="shared" si="3"/>
        <v>1957.76</v>
      </c>
      <c r="T25" s="73">
        <f t="shared" si="4"/>
        <v>2009.28</v>
      </c>
      <c r="U25" s="73">
        <f t="shared" si="6"/>
        <v>2009.28</v>
      </c>
    </row>
    <row r="26" spans="1:21" ht="16" x14ac:dyDescent="0.2">
      <c r="A26" s="27"/>
      <c r="B26" s="488"/>
      <c r="C26" s="20"/>
      <c r="D26" s="20"/>
      <c r="E26" s="61" t="s">
        <v>103</v>
      </c>
      <c r="F26" s="77">
        <f>PDB_Livestock!G22</f>
        <v>190</v>
      </c>
      <c r="G26" s="16">
        <f>PDB_Livestock!H22</f>
        <v>200</v>
      </c>
      <c r="H26" s="17">
        <f>PDB_Livestock!I22</f>
        <v>205</v>
      </c>
      <c r="I26" s="17">
        <f>PDB_Livestock!J22</f>
        <v>225</v>
      </c>
      <c r="J26" s="17">
        <f>PDB_Livestock!K22</f>
        <v>225</v>
      </c>
      <c r="K26" s="17">
        <f>PDB_Livestock!L22</f>
        <v>225</v>
      </c>
      <c r="L26" s="18">
        <f>Assumptions!E14</f>
        <v>5</v>
      </c>
      <c r="M26" s="16">
        <f>Assumptions!$E$12</f>
        <v>28</v>
      </c>
      <c r="N26" s="17">
        <f>Assumptions!$E$22</f>
        <v>365</v>
      </c>
      <c r="O26" s="17">
        <f>Assumptions!$E$33</f>
        <v>365</v>
      </c>
      <c r="P26" s="16">
        <f t="shared" si="0"/>
        <v>26.6</v>
      </c>
      <c r="Q26" s="73">
        <f t="shared" si="1"/>
        <v>28</v>
      </c>
      <c r="R26" s="73">
        <f t="shared" si="2"/>
        <v>28.7</v>
      </c>
      <c r="S26" s="73">
        <f t="shared" si="3"/>
        <v>31.5</v>
      </c>
      <c r="T26" s="73">
        <f t="shared" si="4"/>
        <v>31.5</v>
      </c>
      <c r="U26" s="73">
        <f t="shared" si="6"/>
        <v>31.5</v>
      </c>
    </row>
    <row r="27" spans="1:21" x14ac:dyDescent="0.2">
      <c r="A27" s="27"/>
      <c r="B27" s="488"/>
      <c r="C27" s="20"/>
      <c r="D27" s="20"/>
      <c r="E27" s="63" t="s">
        <v>321</v>
      </c>
      <c r="F27" s="77">
        <f>PDB_Livestock!G23</f>
        <v>0</v>
      </c>
      <c r="G27" s="16">
        <f>PDB_Livestock!H23</f>
        <v>0</v>
      </c>
      <c r="H27" s="17">
        <f>PDB_Livestock!I23</f>
        <v>0</v>
      </c>
      <c r="I27" s="17">
        <f>PDB_Livestock!J23</f>
        <v>0</v>
      </c>
      <c r="J27" s="17">
        <f>PDB_Livestock!K23</f>
        <v>0</v>
      </c>
      <c r="K27" s="17">
        <f>PDB_Livestock!L23</f>
        <v>0</v>
      </c>
      <c r="L27" s="18">
        <f>Assumptions!E15</f>
        <v>31</v>
      </c>
      <c r="M27" s="16">
        <f>Assumptions!$E$12</f>
        <v>28</v>
      </c>
      <c r="N27" s="17">
        <f>Assumptions!$E$22</f>
        <v>365</v>
      </c>
      <c r="O27" s="17">
        <f>Assumptions!$E$33</f>
        <v>365</v>
      </c>
      <c r="P27" s="16">
        <f t="shared" si="0"/>
        <v>0</v>
      </c>
      <c r="Q27" s="73">
        <f t="shared" si="1"/>
        <v>0</v>
      </c>
      <c r="R27" s="73">
        <f t="shared" si="2"/>
        <v>0</v>
      </c>
      <c r="S27" s="73">
        <f t="shared" si="3"/>
        <v>0</v>
      </c>
      <c r="T27" s="73">
        <f t="shared" si="4"/>
        <v>0</v>
      </c>
      <c r="U27" s="73">
        <f t="shared" si="6"/>
        <v>0</v>
      </c>
    </row>
    <row r="28" spans="1:21" ht="16" x14ac:dyDescent="0.2">
      <c r="A28" s="28">
        <v>8</v>
      </c>
      <c r="B28" s="489">
        <f>Assumptions!D68</f>
        <v>741.26900000000001</v>
      </c>
      <c r="C28" s="139"/>
      <c r="D28" s="140"/>
      <c r="E28" s="64" t="s">
        <v>102</v>
      </c>
      <c r="F28" s="137">
        <f>PDB_Livestock!G24</f>
        <v>190</v>
      </c>
      <c r="G28" s="128">
        <f>PDB_Livestock!H24</f>
        <v>150</v>
      </c>
      <c r="H28" s="138">
        <f>PDB_Livestock!I24</f>
        <v>150</v>
      </c>
      <c r="I28" s="138">
        <f>PDB_Livestock!J24</f>
        <v>150</v>
      </c>
      <c r="J28" s="138">
        <f>PDB_Livestock!K24</f>
        <v>150</v>
      </c>
      <c r="K28" s="138">
        <f>PDB_Livestock!L24</f>
        <v>180</v>
      </c>
      <c r="L28" s="24">
        <f>Assumptions!E13</f>
        <v>46</v>
      </c>
      <c r="M28" s="22">
        <f>Assumptions!$E$12</f>
        <v>28</v>
      </c>
      <c r="N28" s="138">
        <f>Assumptions!$E$22</f>
        <v>365</v>
      </c>
      <c r="O28" s="138">
        <f>Assumptions!$E$33</f>
        <v>365</v>
      </c>
      <c r="P28" s="22">
        <f t="shared" si="0"/>
        <v>244.72</v>
      </c>
      <c r="Q28" s="106">
        <f t="shared" si="1"/>
        <v>193.2</v>
      </c>
      <c r="R28" s="106">
        <f t="shared" si="2"/>
        <v>193.2</v>
      </c>
      <c r="S28" s="106">
        <f t="shared" si="3"/>
        <v>193.2</v>
      </c>
      <c r="T28" s="106">
        <f t="shared" si="4"/>
        <v>193.2</v>
      </c>
      <c r="U28" s="106">
        <f t="shared" si="6"/>
        <v>231.84</v>
      </c>
    </row>
    <row r="29" spans="1:21" ht="16" x14ac:dyDescent="0.2">
      <c r="A29" s="29"/>
      <c r="B29" s="490"/>
      <c r="C29" s="25"/>
      <c r="D29" s="25"/>
      <c r="E29" s="64" t="s">
        <v>103</v>
      </c>
      <c r="F29" s="137">
        <f>PDB_Livestock!G25</f>
        <v>0</v>
      </c>
      <c r="G29" s="128">
        <f>PDB_Livestock!H25</f>
        <v>0</v>
      </c>
      <c r="H29" s="138">
        <f>PDB_Livestock!I25</f>
        <v>0</v>
      </c>
      <c r="I29" s="138">
        <f>PDB_Livestock!J25</f>
        <v>0</v>
      </c>
      <c r="J29" s="138">
        <f>PDB_Livestock!K25</f>
        <v>0</v>
      </c>
      <c r="K29" s="138">
        <f>PDB_Livestock!L25</f>
        <v>0</v>
      </c>
      <c r="L29" s="24">
        <f>Assumptions!E14</f>
        <v>5</v>
      </c>
      <c r="M29" s="22">
        <f>Assumptions!$E$12</f>
        <v>28</v>
      </c>
      <c r="N29" s="138">
        <f>Assumptions!$E$22</f>
        <v>365</v>
      </c>
      <c r="O29" s="138">
        <f>Assumptions!$E$33</f>
        <v>365</v>
      </c>
      <c r="P29" s="22">
        <f t="shared" si="0"/>
        <v>0</v>
      </c>
      <c r="Q29" s="106">
        <f t="shared" si="1"/>
        <v>0</v>
      </c>
      <c r="R29" s="106">
        <f t="shared" si="2"/>
        <v>0</v>
      </c>
      <c r="S29" s="106">
        <f t="shared" si="3"/>
        <v>0</v>
      </c>
      <c r="T29" s="106">
        <f t="shared" si="4"/>
        <v>0</v>
      </c>
      <c r="U29" s="106">
        <f t="shared" si="6"/>
        <v>0</v>
      </c>
    </row>
    <row r="30" spans="1:21" ht="16" x14ac:dyDescent="0.2">
      <c r="A30" s="29"/>
      <c r="B30" s="490"/>
      <c r="C30" s="25"/>
      <c r="D30" s="25"/>
      <c r="E30" s="64" t="s">
        <v>321</v>
      </c>
      <c r="F30" s="137">
        <f>PDB_Livestock!G26</f>
        <v>0</v>
      </c>
      <c r="G30" s="128">
        <f>PDB_Livestock!H26</f>
        <v>0</v>
      </c>
      <c r="H30" s="138">
        <f>PDB_Livestock!I26</f>
        <v>0</v>
      </c>
      <c r="I30" s="138">
        <f>PDB_Livestock!J26</f>
        <v>0</v>
      </c>
      <c r="J30" s="138">
        <f>PDB_Livestock!K26</f>
        <v>0</v>
      </c>
      <c r="K30" s="138">
        <f>PDB_Livestock!L26</f>
        <v>0</v>
      </c>
      <c r="L30" s="24">
        <f>Assumptions!E15</f>
        <v>31</v>
      </c>
      <c r="M30" s="22">
        <f>Assumptions!$E$12</f>
        <v>28</v>
      </c>
      <c r="N30" s="138">
        <f>Assumptions!$E$22</f>
        <v>365</v>
      </c>
      <c r="O30" s="138">
        <f>Assumptions!$E$33</f>
        <v>365</v>
      </c>
      <c r="P30" s="22">
        <f t="shared" si="0"/>
        <v>0</v>
      </c>
      <c r="Q30" s="106">
        <f t="shared" si="1"/>
        <v>0</v>
      </c>
      <c r="R30" s="106">
        <f t="shared" si="2"/>
        <v>0</v>
      </c>
      <c r="S30" s="106">
        <f t="shared" si="3"/>
        <v>0</v>
      </c>
      <c r="T30" s="106">
        <f t="shared" si="4"/>
        <v>0</v>
      </c>
      <c r="U30" s="106">
        <f t="shared" si="6"/>
        <v>0</v>
      </c>
    </row>
    <row r="31" spans="1:21" ht="16" x14ac:dyDescent="0.2">
      <c r="A31" s="14">
        <v>9</v>
      </c>
      <c r="B31" s="494">
        <f>Assumptions!D69</f>
        <v>8643.7000000000025</v>
      </c>
      <c r="C31" s="71"/>
      <c r="D31" s="70"/>
      <c r="E31" s="61" t="s">
        <v>102</v>
      </c>
      <c r="F31" s="77">
        <f>PDB_Livestock!G27</f>
        <v>91.666666666666671</v>
      </c>
      <c r="G31" s="16">
        <f>PDB_Livestock!H27</f>
        <v>118</v>
      </c>
      <c r="H31" s="17">
        <f>PDB_Livestock!I27</f>
        <v>120</v>
      </c>
      <c r="I31" s="17">
        <f>PDB_Livestock!J27</f>
        <v>125</v>
      </c>
      <c r="J31" s="17">
        <f>PDB_Livestock!K27</f>
        <v>128</v>
      </c>
      <c r="K31" s="17">
        <f>PDB_Livestock!L27</f>
        <v>132</v>
      </c>
      <c r="L31" s="18">
        <f>Assumptions!E13</f>
        <v>46</v>
      </c>
      <c r="M31" s="16">
        <f>Assumptions!$E$12</f>
        <v>28</v>
      </c>
      <c r="N31" s="17">
        <f>Assumptions!$E$22</f>
        <v>365</v>
      </c>
      <c r="O31" s="17">
        <f>Assumptions!$E$33</f>
        <v>365</v>
      </c>
      <c r="P31" s="16">
        <f t="shared" si="0"/>
        <v>118.06666666666669</v>
      </c>
      <c r="Q31" s="73">
        <f t="shared" si="1"/>
        <v>151.98400000000001</v>
      </c>
      <c r="R31" s="73">
        <f t="shared" si="2"/>
        <v>154.56</v>
      </c>
      <c r="S31" s="73">
        <f t="shared" si="3"/>
        <v>161</v>
      </c>
      <c r="T31" s="73">
        <f t="shared" si="4"/>
        <v>164.864</v>
      </c>
      <c r="U31" s="73">
        <f t="shared" si="6"/>
        <v>170.01599999999999</v>
      </c>
    </row>
    <row r="32" spans="1:21" ht="16" x14ac:dyDescent="0.2">
      <c r="A32" s="19"/>
      <c r="B32" s="488"/>
      <c r="C32" s="20"/>
      <c r="D32" s="20"/>
      <c r="E32" s="61" t="s">
        <v>103</v>
      </c>
      <c r="F32" s="77">
        <f>PDB_Livestock!G28</f>
        <v>2120.3333333333335</v>
      </c>
      <c r="G32" s="16">
        <f>PDB_Livestock!H28</f>
        <v>2215</v>
      </c>
      <c r="H32" s="17">
        <f>PDB_Livestock!I28</f>
        <v>2215</v>
      </c>
      <c r="I32" s="17">
        <f>PDB_Livestock!J28</f>
        <v>2215</v>
      </c>
      <c r="J32" s="17">
        <f>PDB_Livestock!K28</f>
        <v>2215</v>
      </c>
      <c r="K32" s="17">
        <f>PDB_Livestock!L28</f>
        <v>2215</v>
      </c>
      <c r="L32" s="18">
        <f>Assumptions!E14</f>
        <v>5</v>
      </c>
      <c r="M32" s="16">
        <f>Assumptions!$E$12</f>
        <v>28</v>
      </c>
      <c r="N32" s="17">
        <f>Assumptions!$E$22</f>
        <v>365</v>
      </c>
      <c r="O32" s="17">
        <f>Assumptions!$E$33</f>
        <v>365</v>
      </c>
      <c r="P32" s="16">
        <f t="shared" si="0"/>
        <v>296.84666666666669</v>
      </c>
      <c r="Q32" s="73">
        <f t="shared" si="1"/>
        <v>310.10000000000002</v>
      </c>
      <c r="R32" s="73">
        <f t="shared" si="2"/>
        <v>310.10000000000002</v>
      </c>
      <c r="S32" s="73">
        <f t="shared" si="3"/>
        <v>310.10000000000002</v>
      </c>
      <c r="T32" s="73">
        <f t="shared" si="4"/>
        <v>310.10000000000002</v>
      </c>
      <c r="U32" s="73">
        <f t="shared" si="6"/>
        <v>310.10000000000002</v>
      </c>
    </row>
    <row r="33" spans="1:21" x14ac:dyDescent="0.2">
      <c r="A33" s="19"/>
      <c r="B33" s="488"/>
      <c r="C33" s="20"/>
      <c r="D33" s="20"/>
      <c r="E33" s="63" t="s">
        <v>321</v>
      </c>
      <c r="F33" s="77">
        <f>PDB_Livestock!G29</f>
        <v>0</v>
      </c>
      <c r="G33" s="16">
        <f>PDB_Livestock!H29</f>
        <v>0</v>
      </c>
      <c r="H33" s="17">
        <f>PDB_Livestock!I29</f>
        <v>0</v>
      </c>
      <c r="I33" s="17">
        <f>PDB_Livestock!J29</f>
        <v>0</v>
      </c>
      <c r="J33" s="17">
        <f>PDB_Livestock!K29</f>
        <v>0</v>
      </c>
      <c r="K33" s="17">
        <f>PDB_Livestock!L29</f>
        <v>0</v>
      </c>
      <c r="L33" s="18">
        <f>Assumptions!E15</f>
        <v>31</v>
      </c>
      <c r="M33" s="16">
        <f>Assumptions!$E$12</f>
        <v>28</v>
      </c>
      <c r="N33" s="17">
        <f>Assumptions!$E$22</f>
        <v>365</v>
      </c>
      <c r="O33" s="17">
        <f>Assumptions!$E$33</f>
        <v>365</v>
      </c>
      <c r="P33" s="16">
        <f t="shared" si="0"/>
        <v>0</v>
      </c>
      <c r="Q33" s="73">
        <f t="shared" si="1"/>
        <v>0</v>
      </c>
      <c r="R33" s="73">
        <f t="shared" si="2"/>
        <v>0</v>
      </c>
      <c r="S33" s="73">
        <f t="shared" si="3"/>
        <v>0</v>
      </c>
      <c r="T33" s="73">
        <f t="shared" si="4"/>
        <v>0</v>
      </c>
      <c r="U33" s="73">
        <f t="shared" si="6"/>
        <v>0</v>
      </c>
    </row>
    <row r="34" spans="1:21" ht="16" x14ac:dyDescent="0.2">
      <c r="A34" s="30">
        <v>10</v>
      </c>
      <c r="B34" s="489">
        <f>Assumptions!D70</f>
        <v>2860.4270000000001</v>
      </c>
      <c r="C34" s="139"/>
      <c r="D34" s="140"/>
      <c r="E34" s="64" t="s">
        <v>102</v>
      </c>
      <c r="F34" s="137">
        <f>PDB_Livestock!G30</f>
        <v>45</v>
      </c>
      <c r="G34" s="128">
        <f>PDB_Livestock!H30</f>
        <v>51</v>
      </c>
      <c r="H34" s="138">
        <f>PDB_Livestock!I30</f>
        <v>51</v>
      </c>
      <c r="I34" s="138">
        <f>PDB_Livestock!J30</f>
        <v>51</v>
      </c>
      <c r="J34" s="138">
        <f>PDB_Livestock!K30</f>
        <v>51</v>
      </c>
      <c r="K34" s="138">
        <f>PDB_Livestock!L30</f>
        <v>62</v>
      </c>
      <c r="L34" s="24">
        <f>Assumptions!E13</f>
        <v>46</v>
      </c>
      <c r="M34" s="22">
        <f>Assumptions!$E$12</f>
        <v>28</v>
      </c>
      <c r="N34" s="138">
        <f>Assumptions!$E$22</f>
        <v>365</v>
      </c>
      <c r="O34" s="138">
        <f>Assumptions!$E$33</f>
        <v>365</v>
      </c>
      <c r="P34" s="22">
        <f t="shared" si="0"/>
        <v>57.96</v>
      </c>
      <c r="Q34" s="106">
        <f t="shared" si="1"/>
        <v>65.688000000000002</v>
      </c>
      <c r="R34" s="106">
        <f t="shared" si="2"/>
        <v>65.688000000000002</v>
      </c>
      <c r="S34" s="106">
        <f t="shared" si="3"/>
        <v>65.688000000000002</v>
      </c>
      <c r="T34" s="106">
        <f t="shared" si="4"/>
        <v>65.688000000000002</v>
      </c>
      <c r="U34" s="106">
        <f t="shared" si="6"/>
        <v>79.855999999999995</v>
      </c>
    </row>
    <row r="35" spans="1:21" ht="16" x14ac:dyDescent="0.2">
      <c r="A35" s="31"/>
      <c r="B35" s="493"/>
      <c r="C35" s="32"/>
      <c r="D35" s="32"/>
      <c r="E35" s="64" t="s">
        <v>103</v>
      </c>
      <c r="F35" s="137">
        <f>PDB_Livestock!G31</f>
        <v>405</v>
      </c>
      <c r="G35" s="128">
        <f>PDB_Livestock!H31</f>
        <v>432</v>
      </c>
      <c r="H35" s="138">
        <f>PDB_Livestock!I31</f>
        <v>432</v>
      </c>
      <c r="I35" s="138">
        <f>PDB_Livestock!J31</f>
        <v>432</v>
      </c>
      <c r="J35" s="138">
        <f>PDB_Livestock!K31</f>
        <v>432</v>
      </c>
      <c r="K35" s="138">
        <f>PDB_Livestock!L31</f>
        <v>432</v>
      </c>
      <c r="L35" s="24">
        <f>Assumptions!E14</f>
        <v>5</v>
      </c>
      <c r="M35" s="22">
        <f>Assumptions!$E$12</f>
        <v>28</v>
      </c>
      <c r="N35" s="138">
        <f>Assumptions!$E$22</f>
        <v>365</v>
      </c>
      <c r="O35" s="138">
        <f>Assumptions!$E$33</f>
        <v>365</v>
      </c>
      <c r="P35" s="22">
        <f t="shared" si="0"/>
        <v>56.7</v>
      </c>
      <c r="Q35" s="106">
        <f t="shared" si="1"/>
        <v>60.48</v>
      </c>
      <c r="R35" s="106">
        <f t="shared" si="2"/>
        <v>60.48</v>
      </c>
      <c r="S35" s="106">
        <f t="shared" si="3"/>
        <v>60.48</v>
      </c>
      <c r="T35" s="106">
        <f t="shared" si="4"/>
        <v>60.48</v>
      </c>
      <c r="U35" s="106">
        <f t="shared" si="6"/>
        <v>60.48</v>
      </c>
    </row>
    <row r="36" spans="1:21" ht="16" x14ac:dyDescent="0.2">
      <c r="A36" s="31"/>
      <c r="B36" s="493"/>
      <c r="C36" s="32"/>
      <c r="D36" s="32"/>
      <c r="E36" s="64" t="s">
        <v>321</v>
      </c>
      <c r="F36" s="137">
        <f>PDB_Livestock!G32</f>
        <v>444</v>
      </c>
      <c r="G36" s="128">
        <f>PDB_Livestock!H32</f>
        <v>469</v>
      </c>
      <c r="H36" s="138">
        <f>PDB_Livestock!I32</f>
        <v>469</v>
      </c>
      <c r="I36" s="138">
        <f>PDB_Livestock!J32</f>
        <v>469</v>
      </c>
      <c r="J36" s="138">
        <f>PDB_Livestock!K32</f>
        <v>469</v>
      </c>
      <c r="K36" s="138">
        <f>PDB_Livestock!L32</f>
        <v>469</v>
      </c>
      <c r="L36" s="24">
        <f>Assumptions!E15</f>
        <v>31</v>
      </c>
      <c r="M36" s="22">
        <f>Assumptions!$E$12</f>
        <v>28</v>
      </c>
      <c r="N36" s="138">
        <f>Assumptions!$E$22</f>
        <v>365</v>
      </c>
      <c r="O36" s="138">
        <f>Assumptions!$E$33</f>
        <v>365</v>
      </c>
      <c r="P36" s="22">
        <f t="shared" si="0"/>
        <v>385.392</v>
      </c>
      <c r="Q36" s="106">
        <f t="shared" si="1"/>
        <v>407.09199999999998</v>
      </c>
      <c r="R36" s="106">
        <f t="shared" si="2"/>
        <v>407.09199999999998</v>
      </c>
      <c r="S36" s="106">
        <f t="shared" si="3"/>
        <v>407.09199999999998</v>
      </c>
      <c r="T36" s="106">
        <f t="shared" si="4"/>
        <v>407.09199999999998</v>
      </c>
      <c r="U36" s="106">
        <f t="shared" si="6"/>
        <v>407.09199999999998</v>
      </c>
    </row>
    <row r="37" spans="1:21" ht="16" x14ac:dyDescent="0.2">
      <c r="A37" s="27">
        <v>11</v>
      </c>
      <c r="B37" s="494">
        <f>Assumptions!D71</f>
        <v>9034.3230000000021</v>
      </c>
      <c r="C37" s="71"/>
      <c r="D37" s="70"/>
      <c r="E37" s="61" t="s">
        <v>102</v>
      </c>
      <c r="F37" s="77">
        <f>PDB_Livestock!G33</f>
        <v>141</v>
      </c>
      <c r="G37" s="16">
        <f>PDB_Livestock!H33</f>
        <v>79</v>
      </c>
      <c r="H37" s="17">
        <f>PDB_Livestock!I33</f>
        <v>49</v>
      </c>
      <c r="I37" s="17">
        <f>PDB_Livestock!J33</f>
        <v>48</v>
      </c>
      <c r="J37" s="17">
        <f>PDB_Livestock!K33</f>
        <v>45</v>
      </c>
      <c r="K37" s="17">
        <f>PDB_Livestock!L33</f>
        <v>129</v>
      </c>
      <c r="L37" s="18">
        <f>Assumptions!E13</f>
        <v>46</v>
      </c>
      <c r="M37" s="16">
        <f>Assumptions!$E$12</f>
        <v>28</v>
      </c>
      <c r="N37" s="17">
        <f>Assumptions!$E$22</f>
        <v>365</v>
      </c>
      <c r="O37" s="17">
        <f>Assumptions!$E$33</f>
        <v>365</v>
      </c>
      <c r="P37" s="16">
        <f t="shared" si="0"/>
        <v>181.608</v>
      </c>
      <c r="Q37" s="73">
        <f t="shared" si="1"/>
        <v>101.752</v>
      </c>
      <c r="R37" s="73">
        <f t="shared" si="2"/>
        <v>63.112000000000002</v>
      </c>
      <c r="S37" s="73">
        <f t="shared" si="3"/>
        <v>61.823999999999998</v>
      </c>
      <c r="T37" s="73">
        <f t="shared" si="4"/>
        <v>57.96</v>
      </c>
      <c r="U37" s="73">
        <f t="shared" si="6"/>
        <v>166.15199999999999</v>
      </c>
    </row>
    <row r="38" spans="1:21" ht="16" x14ac:dyDescent="0.2">
      <c r="A38" s="27"/>
      <c r="B38" s="488"/>
      <c r="C38" s="20"/>
      <c r="D38" s="20"/>
      <c r="E38" s="61" t="s">
        <v>103</v>
      </c>
      <c r="F38" s="77">
        <f>PDB_Livestock!G34</f>
        <v>2316.6666666666665</v>
      </c>
      <c r="G38" s="16">
        <f>PDB_Livestock!H34</f>
        <v>2096</v>
      </c>
      <c r="H38" s="17">
        <f>PDB_Livestock!I34</f>
        <v>2144</v>
      </c>
      <c r="I38" s="17">
        <f>PDB_Livestock!J34</f>
        <v>2587</v>
      </c>
      <c r="J38" s="17">
        <f>PDB_Livestock!K34</f>
        <v>2570</v>
      </c>
      <c r="K38" s="17">
        <f>PDB_Livestock!L34</f>
        <v>2404</v>
      </c>
      <c r="L38" s="18">
        <f>Assumptions!E14</f>
        <v>5</v>
      </c>
      <c r="M38" s="16">
        <f>Assumptions!$E$12</f>
        <v>28</v>
      </c>
      <c r="N38" s="17">
        <f>Assumptions!$E$22</f>
        <v>365</v>
      </c>
      <c r="O38" s="17">
        <f>Assumptions!$E$33</f>
        <v>365</v>
      </c>
      <c r="P38" s="16">
        <f t="shared" si="0"/>
        <v>324.33333333333331</v>
      </c>
      <c r="Q38" s="73">
        <f t="shared" si="1"/>
        <v>293.44</v>
      </c>
      <c r="R38" s="73">
        <f t="shared" si="2"/>
        <v>300.16000000000003</v>
      </c>
      <c r="S38" s="73">
        <f t="shared" si="3"/>
        <v>362.18</v>
      </c>
      <c r="T38" s="73">
        <f t="shared" si="4"/>
        <v>359.8</v>
      </c>
      <c r="U38" s="73">
        <f t="shared" si="6"/>
        <v>336.56</v>
      </c>
    </row>
    <row r="39" spans="1:21" x14ac:dyDescent="0.2">
      <c r="A39" s="27"/>
      <c r="B39" s="488"/>
      <c r="C39" s="20"/>
      <c r="D39" s="20"/>
      <c r="E39" s="63" t="s">
        <v>321</v>
      </c>
      <c r="F39" s="77">
        <f>PDB_Livestock!G35</f>
        <v>1516</v>
      </c>
      <c r="G39" s="16">
        <f>PDB_Livestock!H35</f>
        <v>1256</v>
      </c>
      <c r="H39" s="17">
        <f>PDB_Livestock!I35</f>
        <v>1190</v>
      </c>
      <c r="I39" s="17">
        <f>PDB_Livestock!J35</f>
        <v>1585</v>
      </c>
      <c r="J39" s="17">
        <f>PDB_Livestock!K35</f>
        <v>1158</v>
      </c>
      <c r="K39" s="17">
        <f>PDB_Livestock!L35</f>
        <v>1122</v>
      </c>
      <c r="L39" s="18">
        <f>Assumptions!E15</f>
        <v>31</v>
      </c>
      <c r="M39" s="16">
        <f>Assumptions!$E$12</f>
        <v>28</v>
      </c>
      <c r="N39" s="17">
        <f>Assumptions!$E$22</f>
        <v>365</v>
      </c>
      <c r="O39" s="17">
        <f>Assumptions!$E$33</f>
        <v>365</v>
      </c>
      <c r="P39" s="16">
        <f t="shared" si="0"/>
        <v>1315.8879999999999</v>
      </c>
      <c r="Q39" s="73">
        <f t="shared" si="1"/>
        <v>1090.2080000000001</v>
      </c>
      <c r="R39" s="73">
        <f t="shared" si="2"/>
        <v>1032.92</v>
      </c>
      <c r="S39" s="73">
        <f t="shared" si="3"/>
        <v>1375.78</v>
      </c>
      <c r="T39" s="73">
        <f t="shared" si="4"/>
        <v>1005.144</v>
      </c>
      <c r="U39" s="73">
        <f t="shared" si="6"/>
        <v>973.89599999999996</v>
      </c>
    </row>
    <row r="40" spans="1:21" ht="16" x14ac:dyDescent="0.2">
      <c r="A40" s="28">
        <v>12</v>
      </c>
      <c r="B40" s="489">
        <f>Assumptions!D72</f>
        <v>2315.3180000000002</v>
      </c>
      <c r="C40" s="139"/>
      <c r="D40" s="140"/>
      <c r="E40" s="64" t="s">
        <v>102</v>
      </c>
      <c r="F40" s="137">
        <f>PDB_Livestock!G36</f>
        <v>803.33333333333337</v>
      </c>
      <c r="G40" s="128">
        <f>PDB_Livestock!H36</f>
        <v>900</v>
      </c>
      <c r="H40" s="138">
        <f>PDB_Livestock!I36</f>
        <v>950</v>
      </c>
      <c r="I40" s="138">
        <f>PDB_Livestock!J36</f>
        <v>1000</v>
      </c>
      <c r="J40" s="138">
        <f>PDB_Livestock!K36</f>
        <v>1000</v>
      </c>
      <c r="K40" s="138">
        <f>PDB_Livestock!L36</f>
        <v>1000</v>
      </c>
      <c r="L40" s="24">
        <f>Assumptions!E13</f>
        <v>46</v>
      </c>
      <c r="M40" s="22">
        <f>Assumptions!$E$12</f>
        <v>28</v>
      </c>
      <c r="N40" s="138">
        <f>Assumptions!$E$22</f>
        <v>365</v>
      </c>
      <c r="O40" s="138">
        <f>Assumptions!$E$33</f>
        <v>365</v>
      </c>
      <c r="P40" s="22">
        <f t="shared" si="0"/>
        <v>1034.6933333333336</v>
      </c>
      <c r="Q40" s="106">
        <f t="shared" si="1"/>
        <v>1159.2</v>
      </c>
      <c r="R40" s="106">
        <f t="shared" si="2"/>
        <v>1223.5999999999999</v>
      </c>
      <c r="S40" s="106">
        <f t="shared" si="3"/>
        <v>1288</v>
      </c>
      <c r="T40" s="106">
        <f t="shared" si="4"/>
        <v>1288</v>
      </c>
      <c r="U40" s="106">
        <f t="shared" si="6"/>
        <v>1288</v>
      </c>
    </row>
    <row r="41" spans="1:21" ht="16" x14ac:dyDescent="0.2">
      <c r="A41" s="29"/>
      <c r="B41" s="490"/>
      <c r="C41" s="32"/>
      <c r="D41" s="32"/>
      <c r="E41" s="64" t="s">
        <v>103</v>
      </c>
      <c r="F41" s="137">
        <f>PDB_Livestock!G37</f>
        <v>1473</v>
      </c>
      <c r="G41" s="128">
        <f>PDB_Livestock!H37</f>
        <v>1550</v>
      </c>
      <c r="H41" s="138">
        <f>PDB_Livestock!I37</f>
        <v>1550</v>
      </c>
      <c r="I41" s="138">
        <f>PDB_Livestock!J37</f>
        <v>1550</v>
      </c>
      <c r="J41" s="138">
        <f>PDB_Livestock!K37</f>
        <v>1550</v>
      </c>
      <c r="K41" s="138">
        <f>PDB_Livestock!L37</f>
        <v>1550</v>
      </c>
      <c r="L41" s="24">
        <f>Assumptions!E14</f>
        <v>5</v>
      </c>
      <c r="M41" s="22">
        <f>Assumptions!$E$12</f>
        <v>28</v>
      </c>
      <c r="N41" s="138">
        <f>Assumptions!$E$22</f>
        <v>365</v>
      </c>
      <c r="O41" s="138">
        <f>Assumptions!$E$33</f>
        <v>365</v>
      </c>
      <c r="P41" s="22">
        <f t="shared" si="0"/>
        <v>206.22</v>
      </c>
      <c r="Q41" s="106">
        <f t="shared" si="1"/>
        <v>217</v>
      </c>
      <c r="R41" s="106">
        <f t="shared" si="2"/>
        <v>217</v>
      </c>
      <c r="S41" s="106">
        <f t="shared" si="3"/>
        <v>217</v>
      </c>
      <c r="T41" s="106">
        <f t="shared" si="4"/>
        <v>217</v>
      </c>
      <c r="U41" s="106">
        <f t="shared" si="6"/>
        <v>217</v>
      </c>
    </row>
    <row r="42" spans="1:21" ht="16" x14ac:dyDescent="0.2">
      <c r="A42" s="29"/>
      <c r="B42" s="490"/>
      <c r="C42" s="25"/>
      <c r="D42" s="25"/>
      <c r="E42" s="64" t="s">
        <v>321</v>
      </c>
      <c r="F42" s="137">
        <f>PDB_Livestock!G38</f>
        <v>0</v>
      </c>
      <c r="G42" s="128">
        <f>PDB_Livestock!H38</f>
        <v>0</v>
      </c>
      <c r="H42" s="138">
        <f>PDB_Livestock!I38</f>
        <v>0</v>
      </c>
      <c r="I42" s="138">
        <f>PDB_Livestock!J38</f>
        <v>0</v>
      </c>
      <c r="J42" s="138">
        <f>PDB_Livestock!K38</f>
        <v>0</v>
      </c>
      <c r="K42" s="138">
        <f>PDB_Livestock!L38</f>
        <v>0</v>
      </c>
      <c r="L42" s="24">
        <f>Assumptions!E15</f>
        <v>31</v>
      </c>
      <c r="M42" s="22">
        <f>Assumptions!$E$12</f>
        <v>28</v>
      </c>
      <c r="N42" s="138">
        <f>Assumptions!$E$22</f>
        <v>365</v>
      </c>
      <c r="O42" s="138">
        <f>Assumptions!$E$33</f>
        <v>365</v>
      </c>
      <c r="P42" s="22">
        <f t="shared" si="0"/>
        <v>0</v>
      </c>
      <c r="Q42" s="106">
        <f t="shared" si="1"/>
        <v>0</v>
      </c>
      <c r="R42" s="106">
        <f t="shared" si="2"/>
        <v>0</v>
      </c>
      <c r="S42" s="106">
        <f t="shared" si="3"/>
        <v>0</v>
      </c>
      <c r="T42" s="106">
        <f t="shared" si="4"/>
        <v>0</v>
      </c>
      <c r="U42" s="106">
        <f t="shared" si="6"/>
        <v>0</v>
      </c>
    </row>
    <row r="43" spans="1:21" ht="16" x14ac:dyDescent="0.2">
      <c r="A43" s="26">
        <v>13</v>
      </c>
      <c r="B43" s="494">
        <f>Assumptions!D73</f>
        <v>5717.201</v>
      </c>
      <c r="C43" s="71"/>
      <c r="D43" s="70"/>
      <c r="E43" s="61" t="s">
        <v>102</v>
      </c>
      <c r="F43" s="77">
        <f>PDB_Livestock!G39</f>
        <v>535</v>
      </c>
      <c r="G43" s="16">
        <f>PDB_Livestock!H39</f>
        <v>386</v>
      </c>
      <c r="H43" s="17">
        <f>PDB_Livestock!I39</f>
        <v>379</v>
      </c>
      <c r="I43" s="17">
        <f>PDB_Livestock!J39</f>
        <v>316</v>
      </c>
      <c r="J43" s="17">
        <f>PDB_Livestock!K39</f>
        <v>324</v>
      </c>
      <c r="K43" s="17">
        <f>PDB_Livestock!L39</f>
        <v>350</v>
      </c>
      <c r="L43" s="18">
        <f>Assumptions!E13</f>
        <v>46</v>
      </c>
      <c r="M43" s="16">
        <f>Assumptions!$E$12</f>
        <v>28</v>
      </c>
      <c r="N43" s="17">
        <f>Assumptions!$E$22</f>
        <v>365</v>
      </c>
      <c r="O43" s="17">
        <f>Assumptions!$E$33</f>
        <v>365</v>
      </c>
      <c r="P43" s="16">
        <f t="shared" si="0"/>
        <v>689.08</v>
      </c>
      <c r="Q43" s="73">
        <f t="shared" si="1"/>
        <v>497.16800000000001</v>
      </c>
      <c r="R43" s="73">
        <f t="shared" si="2"/>
        <v>488.15199999999999</v>
      </c>
      <c r="S43" s="73">
        <f t="shared" si="3"/>
        <v>407.00799999999998</v>
      </c>
      <c r="T43" s="73">
        <f t="shared" si="4"/>
        <v>417.31200000000001</v>
      </c>
      <c r="U43" s="73">
        <f t="shared" si="6"/>
        <v>450.8</v>
      </c>
    </row>
    <row r="44" spans="1:21" ht="16" x14ac:dyDescent="0.2">
      <c r="A44" s="27"/>
      <c r="B44" s="488"/>
      <c r="C44" s="20"/>
      <c r="D44" s="20"/>
      <c r="E44" s="61" t="s">
        <v>103</v>
      </c>
      <c r="F44" s="77">
        <f>PDB_Livestock!G40</f>
        <v>5678</v>
      </c>
      <c r="G44" s="16">
        <f>PDB_Livestock!H40</f>
        <v>4731</v>
      </c>
      <c r="H44" s="17">
        <f>PDB_Livestock!I40</f>
        <v>4707</v>
      </c>
      <c r="I44" s="17">
        <f>PDB_Livestock!J40</f>
        <v>4846</v>
      </c>
      <c r="J44" s="17">
        <f>PDB_Livestock!K40</f>
        <v>5222</v>
      </c>
      <c r="K44" s="17">
        <f>PDB_Livestock!L40</f>
        <v>5500</v>
      </c>
      <c r="L44" s="18">
        <f>Assumptions!E14</f>
        <v>5</v>
      </c>
      <c r="M44" s="16">
        <f>Assumptions!$E$12</f>
        <v>28</v>
      </c>
      <c r="N44" s="17">
        <f>Assumptions!$E$22</f>
        <v>365</v>
      </c>
      <c r="O44" s="17">
        <f>Assumptions!$E$33</f>
        <v>365</v>
      </c>
      <c r="P44" s="16">
        <f t="shared" si="0"/>
        <v>794.92</v>
      </c>
      <c r="Q44" s="73">
        <f t="shared" si="1"/>
        <v>662.34</v>
      </c>
      <c r="R44" s="73">
        <f t="shared" si="2"/>
        <v>658.98</v>
      </c>
      <c r="S44" s="73">
        <f t="shared" si="3"/>
        <v>678.44</v>
      </c>
      <c r="T44" s="73">
        <f t="shared" si="4"/>
        <v>731.08</v>
      </c>
      <c r="U44" s="73">
        <f t="shared" si="6"/>
        <v>770</v>
      </c>
    </row>
    <row r="45" spans="1:21" x14ac:dyDescent="0.2">
      <c r="A45" s="27"/>
      <c r="B45" s="488"/>
      <c r="C45" s="20"/>
      <c r="D45" s="20"/>
      <c r="E45" s="63" t="s">
        <v>321</v>
      </c>
      <c r="F45" s="77">
        <f>PDB_Livestock!G41</f>
        <v>98</v>
      </c>
      <c r="G45" s="16">
        <f>PDB_Livestock!H41</f>
        <v>150</v>
      </c>
      <c r="H45" s="17">
        <f>PDB_Livestock!I41</f>
        <v>150</v>
      </c>
      <c r="I45" s="17">
        <f>PDB_Livestock!J41</f>
        <v>150</v>
      </c>
      <c r="J45" s="17">
        <f>PDB_Livestock!K41</f>
        <v>150</v>
      </c>
      <c r="K45" s="17">
        <f>PDB_Livestock!L41</f>
        <v>10</v>
      </c>
      <c r="L45" s="18">
        <f>Assumptions!E15</f>
        <v>31</v>
      </c>
      <c r="M45" s="16">
        <f>Assumptions!$E$12</f>
        <v>28</v>
      </c>
      <c r="N45" s="17">
        <f>Assumptions!$E$22</f>
        <v>365</v>
      </c>
      <c r="O45" s="17">
        <f>Assumptions!$E$33</f>
        <v>365</v>
      </c>
      <c r="P45" s="16">
        <f t="shared" si="0"/>
        <v>85.063999999999993</v>
      </c>
      <c r="Q45" s="73">
        <f t="shared" si="1"/>
        <v>130.19999999999999</v>
      </c>
      <c r="R45" s="73">
        <f t="shared" si="2"/>
        <v>130.19999999999999</v>
      </c>
      <c r="S45" s="73">
        <f t="shared" si="3"/>
        <v>130.19999999999999</v>
      </c>
      <c r="T45" s="73">
        <f t="shared" si="4"/>
        <v>130.19999999999999</v>
      </c>
      <c r="U45" s="73">
        <f t="shared" si="6"/>
        <v>8.68</v>
      </c>
    </row>
    <row r="46" spans="1:21" ht="16" x14ac:dyDescent="0.2">
      <c r="A46" s="30">
        <v>14</v>
      </c>
      <c r="B46" s="489">
        <f>Assumptions!D74</f>
        <v>3768.0449999999996</v>
      </c>
      <c r="C46" s="139"/>
      <c r="D46" s="140"/>
      <c r="E46" s="64" t="s">
        <v>102</v>
      </c>
      <c r="F46" s="137">
        <f>PDB_Livestock!G42</f>
        <v>383.33333333333331</v>
      </c>
      <c r="G46" s="128">
        <f>PDB_Livestock!H42</f>
        <v>168</v>
      </c>
      <c r="H46" s="138">
        <f>PDB_Livestock!I42</f>
        <v>437</v>
      </c>
      <c r="I46" s="138">
        <f>PDB_Livestock!J42</f>
        <v>317</v>
      </c>
      <c r="J46" s="138">
        <f>PDB_Livestock!K42</f>
        <v>389</v>
      </c>
      <c r="K46" s="138">
        <f>PDB_Livestock!L42</f>
        <v>572</v>
      </c>
      <c r="L46" s="24">
        <f>Assumptions!E13</f>
        <v>46</v>
      </c>
      <c r="M46" s="22">
        <f>Assumptions!$E$12</f>
        <v>28</v>
      </c>
      <c r="N46" s="138">
        <f>Assumptions!$E$22</f>
        <v>365</v>
      </c>
      <c r="O46" s="138">
        <f>Assumptions!$E$33</f>
        <v>365</v>
      </c>
      <c r="P46" s="22">
        <f t="shared" si="0"/>
        <v>493.73333333333323</v>
      </c>
      <c r="Q46" s="106">
        <f t="shared" si="1"/>
        <v>216.38399999999999</v>
      </c>
      <c r="R46" s="106">
        <f t="shared" si="2"/>
        <v>562.85599999999999</v>
      </c>
      <c r="S46" s="106">
        <f t="shared" si="3"/>
        <v>408.29599999999999</v>
      </c>
      <c r="T46" s="106">
        <f t="shared" si="4"/>
        <v>501.03199999999998</v>
      </c>
      <c r="U46" s="106">
        <f t="shared" si="6"/>
        <v>736.73599999999999</v>
      </c>
    </row>
    <row r="47" spans="1:21" ht="16" x14ac:dyDescent="0.2">
      <c r="A47" s="31"/>
      <c r="B47" s="493"/>
      <c r="C47" s="32"/>
      <c r="D47" s="32"/>
      <c r="E47" s="64" t="s">
        <v>103</v>
      </c>
      <c r="F47" s="137">
        <f>PDB_Livestock!G43</f>
        <v>2890.6666666666665</v>
      </c>
      <c r="G47" s="128">
        <f>PDB_Livestock!H43</f>
        <v>1741</v>
      </c>
      <c r="H47" s="138">
        <f>PDB_Livestock!I43</f>
        <v>2281</v>
      </c>
      <c r="I47" s="138">
        <f>PDB_Livestock!J43</f>
        <v>2235</v>
      </c>
      <c r="J47" s="138">
        <f>PDB_Livestock!K43</f>
        <v>3114</v>
      </c>
      <c r="K47" s="138">
        <f>PDB_Livestock!L43</f>
        <v>3255</v>
      </c>
      <c r="L47" s="24">
        <f>Assumptions!E14</f>
        <v>5</v>
      </c>
      <c r="M47" s="22">
        <f>Assumptions!$E$12</f>
        <v>28</v>
      </c>
      <c r="N47" s="138">
        <f>Assumptions!$E$22</f>
        <v>365</v>
      </c>
      <c r="O47" s="138">
        <f>Assumptions!$E$33</f>
        <v>365</v>
      </c>
      <c r="P47" s="22">
        <f t="shared" si="0"/>
        <v>404.69333333333321</v>
      </c>
      <c r="Q47" s="106">
        <f t="shared" si="1"/>
        <v>243.74</v>
      </c>
      <c r="R47" s="106">
        <f t="shared" si="2"/>
        <v>319.33999999999997</v>
      </c>
      <c r="S47" s="106">
        <f t="shared" si="3"/>
        <v>312.89999999999998</v>
      </c>
      <c r="T47" s="106">
        <f t="shared" si="4"/>
        <v>435.96</v>
      </c>
      <c r="U47" s="106">
        <f t="shared" si="6"/>
        <v>455.7</v>
      </c>
    </row>
    <row r="48" spans="1:21" ht="16" x14ac:dyDescent="0.2">
      <c r="A48" s="31"/>
      <c r="B48" s="493"/>
      <c r="C48" s="32"/>
      <c r="D48" s="32"/>
      <c r="E48" s="64" t="s">
        <v>321</v>
      </c>
      <c r="F48" s="137">
        <f>PDB_Livestock!G44</f>
        <v>0</v>
      </c>
      <c r="G48" s="128">
        <f>PDB_Livestock!H44</f>
        <v>0</v>
      </c>
      <c r="H48" s="138">
        <f>PDB_Livestock!I44</f>
        <v>0</v>
      </c>
      <c r="I48" s="138">
        <f>PDB_Livestock!J44</f>
        <v>0</v>
      </c>
      <c r="J48" s="138">
        <f>PDB_Livestock!K44</f>
        <v>0</v>
      </c>
      <c r="K48" s="138">
        <f>PDB_Livestock!L44</f>
        <v>0</v>
      </c>
      <c r="L48" s="24">
        <f>Assumptions!E15</f>
        <v>31</v>
      </c>
      <c r="M48" s="22">
        <f>Assumptions!$E$12</f>
        <v>28</v>
      </c>
      <c r="N48" s="138">
        <f>Assumptions!$E$22</f>
        <v>365</v>
      </c>
      <c r="O48" s="138">
        <f>Assumptions!$E$33</f>
        <v>365</v>
      </c>
      <c r="P48" s="22">
        <f t="shared" si="0"/>
        <v>0</v>
      </c>
      <c r="Q48" s="106">
        <f t="shared" si="1"/>
        <v>0</v>
      </c>
      <c r="R48" s="106">
        <f t="shared" si="2"/>
        <v>0</v>
      </c>
      <c r="S48" s="106">
        <f t="shared" si="3"/>
        <v>0</v>
      </c>
      <c r="T48" s="106">
        <f t="shared" si="4"/>
        <v>0</v>
      </c>
      <c r="U48" s="106">
        <f t="shared" si="6"/>
        <v>0</v>
      </c>
    </row>
    <row r="49" spans="1:21" ht="16" x14ac:dyDescent="0.2">
      <c r="A49" s="27">
        <v>15</v>
      </c>
      <c r="B49" s="494">
        <f>Assumptions!D75</f>
        <v>236.66199999999998</v>
      </c>
      <c r="C49" s="71"/>
      <c r="D49" s="70"/>
      <c r="E49" s="61" t="s">
        <v>102</v>
      </c>
      <c r="F49" s="77">
        <f>PDB_Livestock!G45</f>
        <v>31.666666666666668</v>
      </c>
      <c r="G49" s="16">
        <f>PDB_Livestock!H45</f>
        <v>21</v>
      </c>
      <c r="H49" s="17">
        <f>PDB_Livestock!I45</f>
        <v>21</v>
      </c>
      <c r="I49" s="17">
        <f>PDB_Livestock!J45</f>
        <v>25</v>
      </c>
      <c r="J49" s="17">
        <f>PDB_Livestock!K45</f>
        <v>29</v>
      </c>
      <c r="K49" s="17">
        <f>PDB_Livestock!L45</f>
        <v>30</v>
      </c>
      <c r="L49" s="18">
        <f>Assumptions!E13</f>
        <v>46</v>
      </c>
      <c r="M49" s="16">
        <f>Assumptions!$E$12</f>
        <v>28</v>
      </c>
      <c r="N49" s="17">
        <f>Assumptions!$E$22</f>
        <v>365</v>
      </c>
      <c r="O49" s="17">
        <f>Assumptions!$E$33</f>
        <v>365</v>
      </c>
      <c r="P49" s="16">
        <f t="shared" si="0"/>
        <v>40.786666666666676</v>
      </c>
      <c r="Q49" s="73">
        <f t="shared" si="1"/>
        <v>27.047999999999998</v>
      </c>
      <c r="R49" s="73">
        <f t="shared" si="2"/>
        <v>27.047999999999998</v>
      </c>
      <c r="S49" s="73">
        <f t="shared" si="3"/>
        <v>32.200000000000003</v>
      </c>
      <c r="T49" s="73">
        <f t="shared" si="4"/>
        <v>37.351999999999997</v>
      </c>
      <c r="U49" s="73">
        <f t="shared" si="6"/>
        <v>38.64</v>
      </c>
    </row>
    <row r="50" spans="1:21" ht="16" x14ac:dyDescent="0.2">
      <c r="A50" s="27"/>
      <c r="B50" s="488"/>
      <c r="C50" s="20"/>
      <c r="D50" s="20"/>
      <c r="E50" s="61" t="s">
        <v>103</v>
      </c>
      <c r="F50" s="77">
        <f>PDB_Livestock!G46</f>
        <v>0</v>
      </c>
      <c r="G50" s="16">
        <f>PDB_Livestock!H46</f>
        <v>0</v>
      </c>
      <c r="H50" s="17">
        <f>PDB_Livestock!I46</f>
        <v>0</v>
      </c>
      <c r="I50" s="17">
        <f>PDB_Livestock!J46</f>
        <v>0</v>
      </c>
      <c r="J50" s="17">
        <f>PDB_Livestock!K46</f>
        <v>0</v>
      </c>
      <c r="K50" s="17">
        <f>PDB_Livestock!L46</f>
        <v>0</v>
      </c>
      <c r="L50" s="18">
        <f>Assumptions!E14</f>
        <v>5</v>
      </c>
      <c r="M50" s="16">
        <f>Assumptions!$E$12</f>
        <v>28</v>
      </c>
      <c r="N50" s="17">
        <f>Assumptions!$E$22</f>
        <v>365</v>
      </c>
      <c r="O50" s="17">
        <f>Assumptions!$E$33</f>
        <v>365</v>
      </c>
      <c r="P50" s="16">
        <f t="shared" si="0"/>
        <v>0</v>
      </c>
      <c r="Q50" s="73">
        <f t="shared" si="1"/>
        <v>0</v>
      </c>
      <c r="R50" s="73">
        <f t="shared" si="2"/>
        <v>0</v>
      </c>
      <c r="S50" s="73">
        <f t="shared" si="3"/>
        <v>0</v>
      </c>
      <c r="T50" s="73">
        <f t="shared" si="4"/>
        <v>0</v>
      </c>
      <c r="U50" s="73">
        <f t="shared" si="6"/>
        <v>0</v>
      </c>
    </row>
    <row r="51" spans="1:21" x14ac:dyDescent="0.2">
      <c r="A51" s="27"/>
      <c r="B51" s="488"/>
      <c r="C51" s="20"/>
      <c r="D51" s="20"/>
      <c r="E51" s="63" t="s">
        <v>321</v>
      </c>
      <c r="F51" s="77">
        <f>PDB_Livestock!G47</f>
        <v>183.33333333333334</v>
      </c>
      <c r="G51" s="16">
        <f>PDB_Livestock!H47</f>
        <v>180</v>
      </c>
      <c r="H51" s="17">
        <f>PDB_Livestock!I47</f>
        <v>205</v>
      </c>
      <c r="I51" s="17">
        <f>PDB_Livestock!J47</f>
        <v>156</v>
      </c>
      <c r="J51" s="17">
        <f>PDB_Livestock!K47</f>
        <v>161</v>
      </c>
      <c r="K51" s="17">
        <f>PDB_Livestock!L47</f>
        <v>167</v>
      </c>
      <c r="L51" s="18">
        <f>Assumptions!E15</f>
        <v>31</v>
      </c>
      <c r="M51" s="16">
        <f>Assumptions!$E$12</f>
        <v>28</v>
      </c>
      <c r="N51" s="17">
        <f>Assumptions!$E$22</f>
        <v>365</v>
      </c>
      <c r="O51" s="17">
        <f>Assumptions!$E$33</f>
        <v>365</v>
      </c>
      <c r="P51" s="16">
        <f t="shared" si="0"/>
        <v>159.13333333333335</v>
      </c>
      <c r="Q51" s="73">
        <f t="shared" si="1"/>
        <v>156.24</v>
      </c>
      <c r="R51" s="73">
        <f t="shared" si="2"/>
        <v>177.94</v>
      </c>
      <c r="S51" s="73">
        <f t="shared" si="3"/>
        <v>135.40799999999999</v>
      </c>
      <c r="T51" s="73">
        <f t="shared" si="4"/>
        <v>139.74799999999999</v>
      </c>
      <c r="U51" s="73">
        <f t="shared" si="6"/>
        <v>144.95599999999999</v>
      </c>
    </row>
    <row r="52" spans="1:21" ht="16" x14ac:dyDescent="0.2">
      <c r="A52" s="30">
        <v>16</v>
      </c>
      <c r="B52" s="489">
        <f>Assumptions!D76</f>
        <v>6640.8160000000016</v>
      </c>
      <c r="C52" s="139"/>
      <c r="D52" s="140"/>
      <c r="E52" s="64" t="s">
        <v>102</v>
      </c>
      <c r="F52" s="137">
        <f>PDB_Livestock!G48</f>
        <v>373</v>
      </c>
      <c r="G52" s="128">
        <f>PDB_Livestock!H48</f>
        <v>386</v>
      </c>
      <c r="H52" s="138">
        <f>PDB_Livestock!I48</f>
        <v>379</v>
      </c>
      <c r="I52" s="138">
        <f>PDB_Livestock!J48</f>
        <v>316</v>
      </c>
      <c r="J52" s="138">
        <f>PDB_Livestock!K48</f>
        <v>324</v>
      </c>
      <c r="K52" s="138">
        <f>PDB_Livestock!L48</f>
        <v>350</v>
      </c>
      <c r="L52" s="24">
        <f>Assumptions!E13</f>
        <v>46</v>
      </c>
      <c r="M52" s="22">
        <f>Assumptions!$E$12</f>
        <v>28</v>
      </c>
      <c r="N52" s="138">
        <f>Assumptions!$E$22</f>
        <v>365</v>
      </c>
      <c r="O52" s="138">
        <f>Assumptions!$E$33</f>
        <v>365</v>
      </c>
      <c r="P52" s="22">
        <f t="shared" si="0"/>
        <v>480.42399999999998</v>
      </c>
      <c r="Q52" s="106">
        <f t="shared" si="1"/>
        <v>497.16800000000001</v>
      </c>
      <c r="R52" s="106">
        <f t="shared" si="2"/>
        <v>488.15199999999999</v>
      </c>
      <c r="S52" s="106">
        <f t="shared" si="3"/>
        <v>407.00799999999998</v>
      </c>
      <c r="T52" s="106">
        <f t="shared" si="4"/>
        <v>417.31200000000001</v>
      </c>
      <c r="U52" s="106">
        <f t="shared" si="6"/>
        <v>450.8</v>
      </c>
    </row>
    <row r="53" spans="1:21" ht="16" x14ac:dyDescent="0.2">
      <c r="A53" s="31"/>
      <c r="B53" s="493"/>
      <c r="C53" s="32"/>
      <c r="D53" s="32"/>
      <c r="E53" s="64" t="s">
        <v>103</v>
      </c>
      <c r="F53" s="137">
        <f>PDB_Livestock!G49</f>
        <v>5090</v>
      </c>
      <c r="G53" s="128">
        <f>PDB_Livestock!H49</f>
        <v>4731</v>
      </c>
      <c r="H53" s="138">
        <f>PDB_Livestock!I49</f>
        <v>4707</v>
      </c>
      <c r="I53" s="138">
        <f>PDB_Livestock!J49</f>
        <v>4846</v>
      </c>
      <c r="J53" s="138">
        <f>PDB_Livestock!K49</f>
        <v>5222</v>
      </c>
      <c r="K53" s="138">
        <f>PDB_Livestock!L49</f>
        <v>5500</v>
      </c>
      <c r="L53" s="24">
        <f>Assumptions!E14</f>
        <v>5</v>
      </c>
      <c r="M53" s="22">
        <f>Assumptions!$E$12</f>
        <v>28</v>
      </c>
      <c r="N53" s="138">
        <f>Assumptions!$E$22</f>
        <v>365</v>
      </c>
      <c r="O53" s="138">
        <f>Assumptions!$E$33</f>
        <v>365</v>
      </c>
      <c r="P53" s="22">
        <f t="shared" si="0"/>
        <v>712.6</v>
      </c>
      <c r="Q53" s="106">
        <f t="shared" si="1"/>
        <v>662.34</v>
      </c>
      <c r="R53" s="106">
        <f t="shared" si="2"/>
        <v>658.98</v>
      </c>
      <c r="S53" s="106">
        <f t="shared" si="3"/>
        <v>678.44</v>
      </c>
      <c r="T53" s="106">
        <f t="shared" si="4"/>
        <v>731.08</v>
      </c>
      <c r="U53" s="106">
        <f t="shared" si="6"/>
        <v>770</v>
      </c>
    </row>
    <row r="54" spans="1:21" ht="16" x14ac:dyDescent="0.2">
      <c r="A54" s="31"/>
      <c r="B54" s="493"/>
      <c r="C54" s="32"/>
      <c r="D54" s="32"/>
      <c r="E54" s="64" t="s">
        <v>321</v>
      </c>
      <c r="F54" s="137">
        <f>PDB_Livestock!G50</f>
        <v>150</v>
      </c>
      <c r="G54" s="128">
        <f>PDB_Livestock!H50</f>
        <v>150</v>
      </c>
      <c r="H54" s="138">
        <f>PDB_Livestock!I50</f>
        <v>150</v>
      </c>
      <c r="I54" s="138">
        <f>PDB_Livestock!J50</f>
        <v>150</v>
      </c>
      <c r="J54" s="138">
        <f>PDB_Livestock!K50</f>
        <v>150</v>
      </c>
      <c r="K54" s="138">
        <f>PDB_Livestock!L50</f>
        <v>150</v>
      </c>
      <c r="L54" s="24">
        <f>Assumptions!E15</f>
        <v>31</v>
      </c>
      <c r="M54" s="22">
        <f>Assumptions!$E$12</f>
        <v>28</v>
      </c>
      <c r="N54" s="138">
        <f>Assumptions!$E$22</f>
        <v>365</v>
      </c>
      <c r="O54" s="138">
        <f>Assumptions!$E$33</f>
        <v>365</v>
      </c>
      <c r="P54" s="22">
        <f t="shared" si="0"/>
        <v>130.19999999999999</v>
      </c>
      <c r="Q54" s="106">
        <f t="shared" si="1"/>
        <v>130.19999999999999</v>
      </c>
      <c r="R54" s="106">
        <f t="shared" si="2"/>
        <v>130.19999999999999</v>
      </c>
      <c r="S54" s="106">
        <f t="shared" si="3"/>
        <v>130.19999999999999</v>
      </c>
      <c r="T54" s="106">
        <f t="shared" si="4"/>
        <v>130.19999999999999</v>
      </c>
      <c r="U54" s="106">
        <f t="shared" si="6"/>
        <v>130.19999999999999</v>
      </c>
    </row>
    <row r="55" spans="1:21" ht="16" x14ac:dyDescent="0.2">
      <c r="A55" s="14">
        <v>17</v>
      </c>
      <c r="B55" s="494">
        <f>Assumptions!D77</f>
        <v>837.08299999999997</v>
      </c>
      <c r="C55" s="71"/>
      <c r="D55" s="70"/>
      <c r="E55" s="61" t="s">
        <v>102</v>
      </c>
      <c r="F55" s="77">
        <f>PDB_Livestock!G51</f>
        <v>22.333333333333332</v>
      </c>
      <c r="G55" s="16">
        <f>PDB_Livestock!H51</f>
        <v>21</v>
      </c>
      <c r="H55" s="17">
        <f>PDB_Livestock!I51</f>
        <v>21</v>
      </c>
      <c r="I55" s="17">
        <f>PDB_Livestock!J51</f>
        <v>25</v>
      </c>
      <c r="J55" s="17">
        <f>PDB_Livestock!K51</f>
        <v>29</v>
      </c>
      <c r="K55" s="17">
        <f>PDB_Livestock!L51</f>
        <v>30</v>
      </c>
      <c r="L55" s="18">
        <f>Assumptions!E13</f>
        <v>46</v>
      </c>
      <c r="M55" s="16">
        <f>Assumptions!$E$12</f>
        <v>28</v>
      </c>
      <c r="N55" s="17">
        <f>Assumptions!$E$22</f>
        <v>365</v>
      </c>
      <c r="O55" s="17">
        <f>Assumptions!$E$33</f>
        <v>365</v>
      </c>
      <c r="P55" s="16">
        <f t="shared" si="0"/>
        <v>28.765333333333327</v>
      </c>
      <c r="Q55" s="73">
        <f t="shared" si="1"/>
        <v>27.047999999999998</v>
      </c>
      <c r="R55" s="73">
        <f t="shared" si="2"/>
        <v>27.047999999999998</v>
      </c>
      <c r="S55" s="73">
        <f t="shared" si="3"/>
        <v>32.200000000000003</v>
      </c>
      <c r="T55" s="73">
        <f t="shared" si="4"/>
        <v>37.351999999999997</v>
      </c>
      <c r="U55" s="73">
        <f t="shared" si="6"/>
        <v>38.64</v>
      </c>
    </row>
    <row r="56" spans="1:21" ht="16" x14ac:dyDescent="0.2">
      <c r="A56" s="19"/>
      <c r="B56" s="488"/>
      <c r="C56" s="20"/>
      <c r="D56" s="20"/>
      <c r="E56" s="61" t="s">
        <v>103</v>
      </c>
      <c r="F56" s="77">
        <f>PDB_Livestock!G52</f>
        <v>0</v>
      </c>
      <c r="G56" s="16">
        <f>PDB_Livestock!H52</f>
        <v>0</v>
      </c>
      <c r="H56" s="17">
        <f>PDB_Livestock!I52</f>
        <v>0</v>
      </c>
      <c r="I56" s="17">
        <f>PDB_Livestock!J52</f>
        <v>0</v>
      </c>
      <c r="J56" s="17">
        <f>PDB_Livestock!K52</f>
        <v>0</v>
      </c>
      <c r="K56" s="17">
        <f>PDB_Livestock!L52</f>
        <v>0</v>
      </c>
      <c r="L56" s="18">
        <f>Assumptions!E14</f>
        <v>5</v>
      </c>
      <c r="M56" s="16">
        <f>Assumptions!$E$12</f>
        <v>28</v>
      </c>
      <c r="N56" s="17">
        <f>Assumptions!$E$22</f>
        <v>365</v>
      </c>
      <c r="O56" s="17">
        <f>Assumptions!$E$33</f>
        <v>365</v>
      </c>
      <c r="P56" s="16">
        <f t="shared" si="0"/>
        <v>0</v>
      </c>
      <c r="Q56" s="73">
        <f t="shared" si="1"/>
        <v>0</v>
      </c>
      <c r="R56" s="73">
        <f t="shared" si="2"/>
        <v>0</v>
      </c>
      <c r="S56" s="73">
        <f t="shared" si="3"/>
        <v>0</v>
      </c>
      <c r="T56" s="73">
        <f t="shared" si="4"/>
        <v>0</v>
      </c>
      <c r="U56" s="73">
        <f t="shared" si="6"/>
        <v>0</v>
      </c>
    </row>
    <row r="57" spans="1:21" x14ac:dyDescent="0.2">
      <c r="A57" s="19"/>
      <c r="B57" s="488"/>
      <c r="C57" s="20"/>
      <c r="D57" s="20"/>
      <c r="E57" s="63" t="s">
        <v>321</v>
      </c>
      <c r="F57" s="77">
        <f>PDB_Livestock!G53</f>
        <v>180.33333333333334</v>
      </c>
      <c r="G57" s="16">
        <f>PDB_Livestock!H53</f>
        <v>180</v>
      </c>
      <c r="H57" s="17">
        <f>PDB_Livestock!I53</f>
        <v>205</v>
      </c>
      <c r="I57" s="17">
        <f>PDB_Livestock!J53</f>
        <v>156</v>
      </c>
      <c r="J57" s="17">
        <f>PDB_Livestock!K53</f>
        <v>161</v>
      </c>
      <c r="K57" s="17">
        <f>PDB_Livestock!L53</f>
        <v>167</v>
      </c>
      <c r="L57" s="18">
        <f>Assumptions!E15</f>
        <v>31</v>
      </c>
      <c r="M57" s="16">
        <f>Assumptions!$E$12</f>
        <v>28</v>
      </c>
      <c r="N57" s="17">
        <f>Assumptions!$E$22</f>
        <v>365</v>
      </c>
      <c r="O57" s="17">
        <f>Assumptions!$E$33</f>
        <v>365</v>
      </c>
      <c r="P57" s="16">
        <f t="shared" si="0"/>
        <v>156.52933333333334</v>
      </c>
      <c r="Q57" s="73">
        <f t="shared" si="1"/>
        <v>156.24</v>
      </c>
      <c r="R57" s="73">
        <f t="shared" si="2"/>
        <v>177.94</v>
      </c>
      <c r="S57" s="73">
        <f t="shared" si="3"/>
        <v>135.40799999999999</v>
      </c>
      <c r="T57" s="73">
        <f t="shared" si="4"/>
        <v>139.74799999999999</v>
      </c>
      <c r="U57" s="73">
        <f t="shared" si="6"/>
        <v>144.95599999999999</v>
      </c>
    </row>
    <row r="58" spans="1:21" ht="16" x14ac:dyDescent="0.2">
      <c r="A58" s="33">
        <v>18</v>
      </c>
      <c r="B58" s="489">
        <f>Assumptions!D78</f>
        <v>1849.3409999999997</v>
      </c>
      <c r="C58" s="139"/>
      <c r="D58" s="140"/>
      <c r="E58" s="64" t="s">
        <v>102</v>
      </c>
      <c r="F58" s="137">
        <f>PDB_Livestock!G54</f>
        <v>5200</v>
      </c>
      <c r="G58" s="128">
        <f>PDB_Livestock!H54</f>
        <v>5714</v>
      </c>
      <c r="H58" s="138">
        <f>PDB_Livestock!I54</f>
        <v>5714</v>
      </c>
      <c r="I58" s="138">
        <f>PDB_Livestock!J54</f>
        <v>5714</v>
      </c>
      <c r="J58" s="138">
        <f>PDB_Livestock!K54</f>
        <v>5714</v>
      </c>
      <c r="K58" s="138">
        <f>PDB_Livestock!L54</f>
        <v>5714</v>
      </c>
      <c r="L58" s="24">
        <f>Assumptions!E13</f>
        <v>46</v>
      </c>
      <c r="M58" s="22">
        <f>Assumptions!$E$12</f>
        <v>28</v>
      </c>
      <c r="N58" s="138">
        <f>Assumptions!$E$22</f>
        <v>365</v>
      </c>
      <c r="O58" s="138">
        <f>Assumptions!$E$33</f>
        <v>365</v>
      </c>
      <c r="P58" s="22">
        <f t="shared" si="0"/>
        <v>6697.6</v>
      </c>
      <c r="Q58" s="106">
        <f t="shared" si="1"/>
        <v>7359.6319999999996</v>
      </c>
      <c r="R58" s="106">
        <f t="shared" si="2"/>
        <v>7359.6319999999996</v>
      </c>
      <c r="S58" s="106">
        <f t="shared" si="3"/>
        <v>7359.6319999999996</v>
      </c>
      <c r="T58" s="106">
        <f t="shared" si="4"/>
        <v>7359.6319999999996</v>
      </c>
      <c r="U58" s="106">
        <f t="shared" si="6"/>
        <v>7359.6319999999996</v>
      </c>
    </row>
    <row r="59" spans="1:21" ht="16" x14ac:dyDescent="0.2">
      <c r="A59" s="34"/>
      <c r="B59" s="493"/>
      <c r="C59" s="32"/>
      <c r="D59" s="32"/>
      <c r="E59" s="64" t="s">
        <v>103</v>
      </c>
      <c r="F59" s="137">
        <f>PDB_Livestock!G55</f>
        <v>179.33333333333334</v>
      </c>
      <c r="G59" s="128">
        <f>PDB_Livestock!H55</f>
        <v>200</v>
      </c>
      <c r="H59" s="138">
        <f>PDB_Livestock!I55</f>
        <v>200</v>
      </c>
      <c r="I59" s="138">
        <f>PDB_Livestock!J55</f>
        <v>200</v>
      </c>
      <c r="J59" s="138">
        <f>PDB_Livestock!K55</f>
        <v>200</v>
      </c>
      <c r="K59" s="138">
        <f>PDB_Livestock!L55</f>
        <v>200</v>
      </c>
      <c r="L59" s="24">
        <f>Assumptions!E14</f>
        <v>5</v>
      </c>
      <c r="M59" s="22">
        <f>Assumptions!$E$12</f>
        <v>28</v>
      </c>
      <c r="N59" s="138">
        <f>Assumptions!$E$22</f>
        <v>365</v>
      </c>
      <c r="O59" s="138">
        <f>Assumptions!$E$33</f>
        <v>365</v>
      </c>
      <c r="P59" s="22">
        <f t="shared" si="0"/>
        <v>25.106666666666673</v>
      </c>
      <c r="Q59" s="106">
        <f t="shared" si="1"/>
        <v>28</v>
      </c>
      <c r="R59" s="106">
        <f t="shared" si="2"/>
        <v>28</v>
      </c>
      <c r="S59" s="106">
        <f t="shared" si="3"/>
        <v>28</v>
      </c>
      <c r="T59" s="106">
        <f t="shared" si="4"/>
        <v>28</v>
      </c>
      <c r="U59" s="106">
        <f t="shared" si="6"/>
        <v>28</v>
      </c>
    </row>
    <row r="60" spans="1:21" ht="16" x14ac:dyDescent="0.2">
      <c r="A60" s="34"/>
      <c r="B60" s="493"/>
      <c r="C60" s="32"/>
      <c r="D60" s="32"/>
      <c r="E60" s="64" t="s">
        <v>321</v>
      </c>
      <c r="F60" s="137">
        <f>PDB_Livestock!G56</f>
        <v>0</v>
      </c>
      <c r="G60" s="128">
        <f>PDB_Livestock!H56</f>
        <v>0</v>
      </c>
      <c r="H60" s="138">
        <f>PDB_Livestock!I56</f>
        <v>0</v>
      </c>
      <c r="I60" s="138">
        <f>PDB_Livestock!J56</f>
        <v>0</v>
      </c>
      <c r="J60" s="138">
        <f>PDB_Livestock!K56</f>
        <v>0</v>
      </c>
      <c r="K60" s="138">
        <f>PDB_Livestock!L56</f>
        <v>0</v>
      </c>
      <c r="L60" s="24">
        <f>Assumptions!E15</f>
        <v>31</v>
      </c>
      <c r="M60" s="22">
        <f>Assumptions!$E$12</f>
        <v>28</v>
      </c>
      <c r="N60" s="138">
        <f>Assumptions!$E$22</f>
        <v>365</v>
      </c>
      <c r="O60" s="138">
        <f>Assumptions!$E$33</f>
        <v>365</v>
      </c>
      <c r="P60" s="22">
        <f t="shared" si="0"/>
        <v>0</v>
      </c>
      <c r="Q60" s="106">
        <f t="shared" si="1"/>
        <v>0</v>
      </c>
      <c r="R60" s="106">
        <f t="shared" si="2"/>
        <v>0</v>
      </c>
      <c r="S60" s="106">
        <f t="shared" si="3"/>
        <v>0</v>
      </c>
      <c r="T60" s="106">
        <f t="shared" si="4"/>
        <v>0</v>
      </c>
      <c r="U60" s="106">
        <f t="shared" si="6"/>
        <v>0</v>
      </c>
    </row>
    <row r="61" spans="1:21" ht="16" x14ac:dyDescent="0.2">
      <c r="A61" s="27">
        <v>19</v>
      </c>
      <c r="B61" s="494">
        <f>Assumptions!D79</f>
        <v>7884.7310000000007</v>
      </c>
      <c r="C61" s="71"/>
      <c r="D61" s="70"/>
      <c r="E61" s="61" t="s">
        <v>102</v>
      </c>
      <c r="F61" s="77">
        <f>PDB_Livestock!G57</f>
        <v>5200</v>
      </c>
      <c r="G61" s="16">
        <f>PDB_Livestock!H57</f>
        <v>5714</v>
      </c>
      <c r="H61" s="17">
        <f>PDB_Livestock!I57</f>
        <v>5714</v>
      </c>
      <c r="I61" s="17">
        <f>PDB_Livestock!J57</f>
        <v>5714</v>
      </c>
      <c r="J61" s="17">
        <f>PDB_Livestock!K57</f>
        <v>5714</v>
      </c>
      <c r="K61" s="17">
        <f>PDB_Livestock!L57</f>
        <v>5714</v>
      </c>
      <c r="L61" s="18">
        <f>Assumptions!E13</f>
        <v>46</v>
      </c>
      <c r="M61" s="16">
        <f>Assumptions!$E$12</f>
        <v>28</v>
      </c>
      <c r="N61" s="17">
        <f>Assumptions!$E$22</f>
        <v>365</v>
      </c>
      <c r="O61" s="17">
        <f>Assumptions!$E$33</f>
        <v>365</v>
      </c>
      <c r="P61" s="16">
        <f t="shared" si="0"/>
        <v>6697.6</v>
      </c>
      <c r="Q61" s="73">
        <f t="shared" si="1"/>
        <v>7359.6319999999996</v>
      </c>
      <c r="R61" s="73">
        <f t="shared" si="2"/>
        <v>7359.6319999999996</v>
      </c>
      <c r="S61" s="73">
        <f t="shared" si="3"/>
        <v>7359.6319999999996</v>
      </c>
      <c r="T61" s="73">
        <f t="shared" si="4"/>
        <v>7359.6319999999996</v>
      </c>
      <c r="U61" s="73">
        <f t="shared" si="6"/>
        <v>7359.6319999999996</v>
      </c>
    </row>
    <row r="62" spans="1:21" ht="16" x14ac:dyDescent="0.2">
      <c r="A62" s="27"/>
      <c r="B62" s="488"/>
      <c r="C62" s="20"/>
      <c r="D62" s="20"/>
      <c r="E62" s="61" t="s">
        <v>103</v>
      </c>
      <c r="F62" s="77">
        <f>PDB_Livestock!G58</f>
        <v>179.33333333333334</v>
      </c>
      <c r="G62" s="16">
        <f>PDB_Livestock!H58</f>
        <v>200</v>
      </c>
      <c r="H62" s="17">
        <f>PDB_Livestock!I58</f>
        <v>200</v>
      </c>
      <c r="I62" s="17">
        <f>PDB_Livestock!J58</f>
        <v>200</v>
      </c>
      <c r="J62" s="17">
        <f>PDB_Livestock!K58</f>
        <v>200</v>
      </c>
      <c r="K62" s="17">
        <f>PDB_Livestock!L58</f>
        <v>200</v>
      </c>
      <c r="L62" s="18">
        <f>Assumptions!E14</f>
        <v>5</v>
      </c>
      <c r="M62" s="16">
        <f>Assumptions!$E$12</f>
        <v>28</v>
      </c>
      <c r="N62" s="17">
        <f>Assumptions!$E$22</f>
        <v>365</v>
      </c>
      <c r="O62" s="17">
        <f>Assumptions!$E$33</f>
        <v>365</v>
      </c>
      <c r="P62" s="16">
        <f t="shared" si="0"/>
        <v>25.106666666666673</v>
      </c>
      <c r="Q62" s="73">
        <f t="shared" si="1"/>
        <v>28</v>
      </c>
      <c r="R62" s="73">
        <f t="shared" si="2"/>
        <v>28</v>
      </c>
      <c r="S62" s="73">
        <f t="shared" si="3"/>
        <v>28</v>
      </c>
      <c r="T62" s="73">
        <f t="shared" si="4"/>
        <v>28</v>
      </c>
      <c r="U62" s="73">
        <f t="shared" si="6"/>
        <v>28</v>
      </c>
    </row>
    <row r="63" spans="1:21" x14ac:dyDescent="0.2">
      <c r="A63" s="27"/>
      <c r="B63" s="488"/>
      <c r="C63" s="20"/>
      <c r="D63" s="20"/>
      <c r="E63" s="63" t="s">
        <v>321</v>
      </c>
      <c r="F63" s="77">
        <f>PDB_Livestock!G59</f>
        <v>0</v>
      </c>
      <c r="G63" s="16">
        <f>PDB_Livestock!H59</f>
        <v>0</v>
      </c>
      <c r="H63" s="17">
        <f>PDB_Livestock!I59</f>
        <v>0</v>
      </c>
      <c r="I63" s="17">
        <f>PDB_Livestock!J59</f>
        <v>0</v>
      </c>
      <c r="J63" s="17">
        <f>PDB_Livestock!K59</f>
        <v>0</v>
      </c>
      <c r="K63" s="17">
        <f>PDB_Livestock!L59</f>
        <v>0</v>
      </c>
      <c r="L63" s="18">
        <f>Assumptions!E15</f>
        <v>31</v>
      </c>
      <c r="M63" s="16">
        <f>Assumptions!$E$12</f>
        <v>28</v>
      </c>
      <c r="N63" s="17">
        <f>Assumptions!$E$22</f>
        <v>365</v>
      </c>
      <c r="O63" s="17">
        <f>Assumptions!$E$33</f>
        <v>365</v>
      </c>
      <c r="P63" s="16">
        <f t="shared" si="0"/>
        <v>0</v>
      </c>
      <c r="Q63" s="73">
        <f t="shared" si="1"/>
        <v>0</v>
      </c>
      <c r="R63" s="73">
        <f t="shared" si="2"/>
        <v>0</v>
      </c>
      <c r="S63" s="73">
        <f t="shared" si="3"/>
        <v>0</v>
      </c>
      <c r="T63" s="73">
        <f t="shared" si="4"/>
        <v>0</v>
      </c>
      <c r="U63" s="73">
        <f t="shared" si="6"/>
        <v>0</v>
      </c>
    </row>
    <row r="64" spans="1:21" ht="16" x14ac:dyDescent="0.2">
      <c r="A64" s="30">
        <v>20</v>
      </c>
      <c r="B64" s="489">
        <f>Assumptions!D80</f>
        <v>2195.1750000000002</v>
      </c>
      <c r="C64" s="139"/>
      <c r="D64" s="140"/>
      <c r="E64" s="64" t="s">
        <v>102</v>
      </c>
      <c r="F64" s="137">
        <f>PDB_Livestock!G60</f>
        <v>485</v>
      </c>
      <c r="G64" s="128">
        <f>PDB_Livestock!H60</f>
        <v>558</v>
      </c>
      <c r="H64" s="138">
        <f>PDB_Livestock!I60</f>
        <v>558</v>
      </c>
      <c r="I64" s="138">
        <f>PDB_Livestock!J60</f>
        <v>558</v>
      </c>
      <c r="J64" s="138">
        <f>PDB_Livestock!K60</f>
        <v>558</v>
      </c>
      <c r="K64" s="138">
        <f>PDB_Livestock!L60</f>
        <v>558</v>
      </c>
      <c r="L64" s="24">
        <f>Assumptions!E13</f>
        <v>46</v>
      </c>
      <c r="M64" s="22">
        <f>Assumptions!$E$12</f>
        <v>28</v>
      </c>
      <c r="N64" s="138">
        <f>Assumptions!$E$22</f>
        <v>365</v>
      </c>
      <c r="O64" s="138">
        <f>Assumptions!$E$33</f>
        <v>365</v>
      </c>
      <c r="P64" s="22">
        <f t="shared" si="0"/>
        <v>624.67999999999995</v>
      </c>
      <c r="Q64" s="106">
        <f t="shared" si="1"/>
        <v>718.70399999999995</v>
      </c>
      <c r="R64" s="106">
        <f t="shared" si="2"/>
        <v>718.70399999999995</v>
      </c>
      <c r="S64" s="106">
        <f t="shared" si="3"/>
        <v>718.70399999999995</v>
      </c>
      <c r="T64" s="106">
        <f t="shared" si="4"/>
        <v>718.70399999999995</v>
      </c>
      <c r="U64" s="106">
        <f t="shared" si="6"/>
        <v>718.70399999999995</v>
      </c>
    </row>
    <row r="65" spans="1:21" ht="16" x14ac:dyDescent="0.2">
      <c r="A65" s="31"/>
      <c r="B65" s="493"/>
      <c r="C65" s="32"/>
      <c r="D65" s="32"/>
      <c r="E65" s="64" t="s">
        <v>103</v>
      </c>
      <c r="F65" s="137">
        <f>PDB_Livestock!G61</f>
        <v>5466.666666666667</v>
      </c>
      <c r="G65" s="128">
        <f>PDB_Livestock!H61</f>
        <v>5678</v>
      </c>
      <c r="H65" s="138">
        <f>PDB_Livestock!I61</f>
        <v>5678</v>
      </c>
      <c r="I65" s="138">
        <f>PDB_Livestock!J61</f>
        <v>5678</v>
      </c>
      <c r="J65" s="138">
        <f>PDB_Livestock!K61</f>
        <v>5678</v>
      </c>
      <c r="K65" s="138">
        <f>PDB_Livestock!L61</f>
        <v>5678</v>
      </c>
      <c r="L65" s="24">
        <f>Assumptions!E14</f>
        <v>5</v>
      </c>
      <c r="M65" s="22">
        <f>Assumptions!$E$12</f>
        <v>28</v>
      </c>
      <c r="N65" s="138">
        <f>Assumptions!$E$22</f>
        <v>365</v>
      </c>
      <c r="O65" s="138">
        <f>Assumptions!$E$33</f>
        <v>365</v>
      </c>
      <c r="P65" s="22">
        <f t="shared" si="0"/>
        <v>765.3333333333336</v>
      </c>
      <c r="Q65" s="106">
        <f t="shared" si="1"/>
        <v>794.92</v>
      </c>
      <c r="R65" s="106">
        <f t="shared" si="2"/>
        <v>794.92</v>
      </c>
      <c r="S65" s="106">
        <f t="shared" si="3"/>
        <v>794.92</v>
      </c>
      <c r="T65" s="106">
        <f t="shared" si="4"/>
        <v>794.92</v>
      </c>
      <c r="U65" s="106">
        <f t="shared" si="6"/>
        <v>794.92</v>
      </c>
    </row>
    <row r="66" spans="1:21" ht="16" x14ac:dyDescent="0.2">
      <c r="A66" s="31"/>
      <c r="B66" s="493"/>
      <c r="C66" s="32"/>
      <c r="D66" s="32"/>
      <c r="E66" s="64" t="s">
        <v>321</v>
      </c>
      <c r="F66" s="137">
        <f>PDB_Livestock!G62</f>
        <v>77.333333333333329</v>
      </c>
      <c r="G66" s="128">
        <f>PDB_Livestock!H62</f>
        <v>98</v>
      </c>
      <c r="H66" s="138">
        <f>PDB_Livestock!I62</f>
        <v>98</v>
      </c>
      <c r="I66" s="138">
        <f>PDB_Livestock!J62</f>
        <v>98</v>
      </c>
      <c r="J66" s="138">
        <f>PDB_Livestock!K62</f>
        <v>98</v>
      </c>
      <c r="K66" s="138">
        <f>PDB_Livestock!L62</f>
        <v>98</v>
      </c>
      <c r="L66" s="24">
        <f>Assumptions!E15</f>
        <v>31</v>
      </c>
      <c r="M66" s="22">
        <f>Assumptions!$E$12</f>
        <v>28</v>
      </c>
      <c r="N66" s="138">
        <f>Assumptions!$E$22</f>
        <v>365</v>
      </c>
      <c r="O66" s="138">
        <f>Assumptions!$E$33</f>
        <v>365</v>
      </c>
      <c r="P66" s="22">
        <f t="shared" si="0"/>
        <v>67.12533333333333</v>
      </c>
      <c r="Q66" s="106">
        <f t="shared" si="1"/>
        <v>85.063999999999993</v>
      </c>
      <c r="R66" s="106">
        <f t="shared" si="2"/>
        <v>85.063999999999993</v>
      </c>
      <c r="S66" s="106">
        <f t="shared" si="3"/>
        <v>85.063999999999993</v>
      </c>
      <c r="T66" s="106">
        <f t="shared" si="4"/>
        <v>85.063999999999993</v>
      </c>
      <c r="U66" s="106">
        <f t="shared" si="6"/>
        <v>85.063999999999993</v>
      </c>
    </row>
    <row r="67" spans="1:21" ht="16" x14ac:dyDescent="0.2">
      <c r="A67" s="26">
        <v>21</v>
      </c>
      <c r="B67" s="494">
        <f>Assumptions!D81</f>
        <v>454.25200000000001</v>
      </c>
      <c r="C67" s="71"/>
      <c r="D67" s="70"/>
      <c r="E67" s="61" t="s">
        <v>102</v>
      </c>
      <c r="F67" s="77">
        <f>PDB_Livestock!G63</f>
        <v>355</v>
      </c>
      <c r="G67" s="16">
        <f>PDB_Livestock!H63</f>
        <v>390</v>
      </c>
      <c r="H67" s="17">
        <f>PDB_Livestock!I63</f>
        <v>390</v>
      </c>
      <c r="I67" s="17">
        <f>PDB_Livestock!J63</f>
        <v>390</v>
      </c>
      <c r="J67" s="17">
        <f>PDB_Livestock!K63</f>
        <v>390</v>
      </c>
      <c r="K67" s="17">
        <f>PDB_Livestock!L63</f>
        <v>390</v>
      </c>
      <c r="L67" s="18">
        <f>Assumptions!E13</f>
        <v>46</v>
      </c>
      <c r="M67" s="16">
        <f>Assumptions!$E$12</f>
        <v>28</v>
      </c>
      <c r="N67" s="17">
        <f>Assumptions!$E$22</f>
        <v>365</v>
      </c>
      <c r="O67" s="17">
        <f>Assumptions!$E$33</f>
        <v>365</v>
      </c>
      <c r="P67" s="16">
        <f t="shared" si="0"/>
        <v>457.24</v>
      </c>
      <c r="Q67" s="73">
        <f t="shared" si="1"/>
        <v>502.32</v>
      </c>
      <c r="R67" s="73">
        <f t="shared" si="2"/>
        <v>502.32</v>
      </c>
      <c r="S67" s="73">
        <f t="shared" si="3"/>
        <v>502.32</v>
      </c>
      <c r="T67" s="73">
        <f t="shared" si="4"/>
        <v>502.32</v>
      </c>
      <c r="U67" s="73">
        <f t="shared" si="6"/>
        <v>502.32</v>
      </c>
    </row>
    <row r="68" spans="1:21" ht="16" x14ac:dyDescent="0.2">
      <c r="A68" s="27"/>
      <c r="B68" s="488"/>
      <c r="C68" s="20"/>
      <c r="D68" s="20"/>
      <c r="E68" s="61" t="s">
        <v>103</v>
      </c>
      <c r="F68" s="77">
        <f>PDB_Livestock!G64</f>
        <v>0</v>
      </c>
      <c r="G68" s="16">
        <f>PDB_Livestock!H64</f>
        <v>0</v>
      </c>
      <c r="H68" s="17">
        <f>PDB_Livestock!I64</f>
        <v>0</v>
      </c>
      <c r="I68" s="17">
        <f>PDB_Livestock!J64</f>
        <v>0</v>
      </c>
      <c r="J68" s="17">
        <f>PDB_Livestock!K64</f>
        <v>0</v>
      </c>
      <c r="K68" s="17">
        <f>PDB_Livestock!L64</f>
        <v>0</v>
      </c>
      <c r="L68" s="18">
        <f>Assumptions!E14</f>
        <v>5</v>
      </c>
      <c r="M68" s="16">
        <f>Assumptions!$E$12</f>
        <v>28</v>
      </c>
      <c r="N68" s="17">
        <f>Assumptions!$E$22</f>
        <v>365</v>
      </c>
      <c r="O68" s="17">
        <f>Assumptions!$E$33</f>
        <v>365</v>
      </c>
      <c r="P68" s="16">
        <f t="shared" si="0"/>
        <v>0</v>
      </c>
      <c r="Q68" s="73">
        <f t="shared" si="1"/>
        <v>0</v>
      </c>
      <c r="R68" s="73">
        <f t="shared" si="2"/>
        <v>0</v>
      </c>
      <c r="S68" s="73">
        <f t="shared" si="3"/>
        <v>0</v>
      </c>
      <c r="T68" s="73">
        <f t="shared" si="4"/>
        <v>0</v>
      </c>
      <c r="U68" s="73">
        <f t="shared" si="6"/>
        <v>0</v>
      </c>
    </row>
    <row r="69" spans="1:21" x14ac:dyDescent="0.2">
      <c r="A69" s="27"/>
      <c r="B69" s="488"/>
      <c r="C69" s="20"/>
      <c r="D69" s="20"/>
      <c r="E69" s="63" t="s">
        <v>321</v>
      </c>
      <c r="F69" s="77">
        <f>PDB_Livestock!G65</f>
        <v>0</v>
      </c>
      <c r="G69" s="16">
        <f>PDB_Livestock!H65</f>
        <v>0</v>
      </c>
      <c r="H69" s="17">
        <f>PDB_Livestock!I65</f>
        <v>0</v>
      </c>
      <c r="I69" s="17">
        <f>PDB_Livestock!J65</f>
        <v>0</v>
      </c>
      <c r="J69" s="17">
        <f>PDB_Livestock!K65</f>
        <v>0</v>
      </c>
      <c r="K69" s="17">
        <f>PDB_Livestock!L65</f>
        <v>0</v>
      </c>
      <c r="L69" s="18">
        <f>Assumptions!E15</f>
        <v>31</v>
      </c>
      <c r="M69" s="16">
        <f>Assumptions!$E$12</f>
        <v>28</v>
      </c>
      <c r="N69" s="17">
        <f>Assumptions!$E$22</f>
        <v>365</v>
      </c>
      <c r="O69" s="17">
        <f>Assumptions!$E$33</f>
        <v>365</v>
      </c>
      <c r="P69" s="16">
        <f t="shared" si="0"/>
        <v>0</v>
      </c>
      <c r="Q69" s="73">
        <f t="shared" si="1"/>
        <v>0</v>
      </c>
      <c r="R69" s="73">
        <f t="shared" si="2"/>
        <v>0</v>
      </c>
      <c r="S69" s="73">
        <f t="shared" si="3"/>
        <v>0</v>
      </c>
      <c r="T69" s="73">
        <f t="shared" si="4"/>
        <v>0</v>
      </c>
      <c r="U69" s="73">
        <f t="shared" si="6"/>
        <v>0</v>
      </c>
    </row>
    <row r="70" spans="1:21" ht="16" x14ac:dyDescent="0.2">
      <c r="A70" s="30">
        <v>22</v>
      </c>
      <c r="B70" s="489">
        <f>Assumptions!D82</f>
        <v>18064.454000000005</v>
      </c>
      <c r="C70" s="139"/>
      <c r="D70" s="140"/>
      <c r="E70" s="64" t="s">
        <v>102</v>
      </c>
      <c r="F70" s="137">
        <f>PDB_Livestock!G66</f>
        <v>522.33333333333337</v>
      </c>
      <c r="G70" s="128">
        <f>PDB_Livestock!H66</f>
        <v>558</v>
      </c>
      <c r="H70" s="138">
        <f>PDB_Livestock!I66</f>
        <v>558</v>
      </c>
      <c r="I70" s="138">
        <f>PDB_Livestock!J66</f>
        <v>558</v>
      </c>
      <c r="J70" s="138">
        <f>PDB_Livestock!K66</f>
        <v>558</v>
      </c>
      <c r="K70" s="138">
        <f>PDB_Livestock!L66</f>
        <v>558</v>
      </c>
      <c r="L70" s="24">
        <f>Assumptions!E13</f>
        <v>46</v>
      </c>
      <c r="M70" s="22">
        <f>Assumptions!$E$12</f>
        <v>28</v>
      </c>
      <c r="N70" s="138">
        <f>Assumptions!$E$22</f>
        <v>365</v>
      </c>
      <c r="O70" s="138">
        <f>Assumptions!$E$33</f>
        <v>365</v>
      </c>
      <c r="P70" s="22">
        <f t="shared" si="0"/>
        <v>672.76533333333339</v>
      </c>
      <c r="Q70" s="106">
        <f t="shared" si="1"/>
        <v>718.70399999999995</v>
      </c>
      <c r="R70" s="106">
        <f t="shared" si="2"/>
        <v>718.70399999999995</v>
      </c>
      <c r="S70" s="106">
        <f t="shared" si="3"/>
        <v>718.70399999999995</v>
      </c>
      <c r="T70" s="106">
        <f t="shared" si="4"/>
        <v>718.70399999999995</v>
      </c>
      <c r="U70" s="106">
        <f t="shared" si="6"/>
        <v>718.70399999999995</v>
      </c>
    </row>
    <row r="71" spans="1:21" ht="16" x14ac:dyDescent="0.2">
      <c r="A71" s="31"/>
      <c r="B71" s="31"/>
      <c r="C71" s="32"/>
      <c r="D71" s="32"/>
      <c r="E71" s="64" t="s">
        <v>103</v>
      </c>
      <c r="F71" s="137">
        <f>PDB_Livestock!G67</f>
        <v>5311.333333333333</v>
      </c>
      <c r="G71" s="128">
        <f>PDB_Livestock!H67</f>
        <v>5678</v>
      </c>
      <c r="H71" s="138">
        <f>PDB_Livestock!I67</f>
        <v>5678</v>
      </c>
      <c r="I71" s="138">
        <f>PDB_Livestock!J67</f>
        <v>5678</v>
      </c>
      <c r="J71" s="138">
        <f>PDB_Livestock!K67</f>
        <v>5678</v>
      </c>
      <c r="K71" s="138">
        <f>PDB_Livestock!L67</f>
        <v>5678</v>
      </c>
      <c r="L71" s="24">
        <f>Assumptions!E14</f>
        <v>5</v>
      </c>
      <c r="M71" s="22">
        <f>Assumptions!$E$12</f>
        <v>28</v>
      </c>
      <c r="N71" s="138">
        <f>Assumptions!$E$22</f>
        <v>365</v>
      </c>
      <c r="O71" s="138">
        <f>Assumptions!$E$33</f>
        <v>365</v>
      </c>
      <c r="P71" s="22">
        <f t="shared" si="0"/>
        <v>743.58666666666647</v>
      </c>
      <c r="Q71" s="106">
        <f t="shared" si="1"/>
        <v>794.92</v>
      </c>
      <c r="R71" s="106">
        <f t="shared" si="2"/>
        <v>794.92</v>
      </c>
      <c r="S71" s="106">
        <f t="shared" si="3"/>
        <v>794.92</v>
      </c>
      <c r="T71" s="106">
        <f t="shared" si="4"/>
        <v>794.92</v>
      </c>
      <c r="U71" s="106">
        <f t="shared" si="6"/>
        <v>794.92</v>
      </c>
    </row>
    <row r="72" spans="1:21" ht="16" x14ac:dyDescent="0.2">
      <c r="A72" s="31"/>
      <c r="B72" s="31"/>
      <c r="C72" s="32"/>
      <c r="D72" s="32"/>
      <c r="E72" s="64" t="s">
        <v>321</v>
      </c>
      <c r="F72" s="137">
        <f>PDB_Livestock!G68</f>
        <v>92</v>
      </c>
      <c r="G72" s="128">
        <f>PDB_Livestock!H68</f>
        <v>98</v>
      </c>
      <c r="H72" s="138">
        <f>PDB_Livestock!I68</f>
        <v>98</v>
      </c>
      <c r="I72" s="138">
        <f>PDB_Livestock!J68</f>
        <v>98</v>
      </c>
      <c r="J72" s="138">
        <f>PDB_Livestock!K68</f>
        <v>98</v>
      </c>
      <c r="K72" s="138">
        <f>PDB_Livestock!L68</f>
        <v>98</v>
      </c>
      <c r="L72" s="24">
        <f>Assumptions!E15</f>
        <v>31</v>
      </c>
      <c r="M72" s="22">
        <f>Assumptions!$E$12</f>
        <v>28</v>
      </c>
      <c r="N72" s="138">
        <f>Assumptions!$E$22</f>
        <v>365</v>
      </c>
      <c r="O72" s="138">
        <f>Assumptions!$E$33</f>
        <v>365</v>
      </c>
      <c r="P72" s="22">
        <f t="shared" ref="P72" si="7">(M72*F72*L72*N72)/(1000*365)</f>
        <v>79.855999999999995</v>
      </c>
      <c r="Q72" s="106">
        <f t="shared" ref="Q72" si="8">(M72*G72*L72*O72)/(1000*365)</f>
        <v>85.063999999999993</v>
      </c>
      <c r="R72" s="106">
        <f t="shared" ref="R72" si="9">(M72*H72*L72*O72)/(1000*365)</f>
        <v>85.063999999999993</v>
      </c>
      <c r="S72" s="106">
        <f t="shared" ref="S72" si="10">(M72*I72*L72*O72)/(1000*365)</f>
        <v>85.063999999999993</v>
      </c>
      <c r="T72" s="106">
        <f t="shared" ref="T72" si="11">(M72*J72*L72*O72)/(1000*365)</f>
        <v>85.063999999999993</v>
      </c>
      <c r="U72" s="106">
        <f t="shared" si="6"/>
        <v>85.063999999999993</v>
      </c>
    </row>
    <row r="73" spans="1:21" ht="23.5" customHeight="1" x14ac:dyDescent="0.2">
      <c r="A73" s="601" t="s">
        <v>104</v>
      </c>
      <c r="B73" s="602"/>
      <c r="C73" s="602"/>
      <c r="D73" s="602"/>
      <c r="E73" s="602"/>
      <c r="F73" s="602"/>
      <c r="G73" s="602"/>
      <c r="H73" s="602"/>
      <c r="I73" s="602"/>
      <c r="J73" s="602"/>
      <c r="K73" s="602"/>
      <c r="L73" s="602"/>
      <c r="M73" s="602"/>
      <c r="N73" s="35"/>
      <c r="O73" s="35"/>
      <c r="P73" s="36">
        <f t="shared" ref="P73:U73" si="12">SUM(P7:P72)</f>
        <v>29845.71333333333</v>
      </c>
      <c r="Q73" s="36">
        <f t="shared" si="12"/>
        <v>30802.856</v>
      </c>
      <c r="R73" s="36">
        <f t="shared" si="12"/>
        <v>31333.763999999996</v>
      </c>
      <c r="S73" s="36">
        <f t="shared" si="12"/>
        <v>31552.051999999996</v>
      </c>
      <c r="T73" s="36">
        <f t="shared" si="12"/>
        <v>31377.135999999991</v>
      </c>
      <c r="U73" s="36">
        <f t="shared" si="12"/>
        <v>31754.183999999994</v>
      </c>
    </row>
  </sheetData>
  <mergeCells count="7">
    <mergeCell ref="A1:F1"/>
    <mergeCell ref="A73:M73"/>
    <mergeCell ref="R6:U6"/>
    <mergeCell ref="H6:K6"/>
    <mergeCell ref="A5:A6"/>
    <mergeCell ref="B5:B6"/>
    <mergeCell ref="E5:E6"/>
  </mergeCells>
  <pageMargins left="0.7" right="0.7" top="0.75" bottom="0.75" header="0.3" footer="0.3"/>
  <pageSetup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46BC0-F67A-8144-BF99-4864677B8A56}">
  <dimension ref="A1:AF30"/>
  <sheetViews>
    <sheetView workbookViewId="0">
      <selection activeCell="G28" sqref="G28"/>
    </sheetView>
  </sheetViews>
  <sheetFormatPr baseColWidth="10" defaultColWidth="8.83203125" defaultRowHeight="15" x14ac:dyDescent="0.2"/>
  <cols>
    <col min="1" max="1" width="12.6640625" style="41" customWidth="1"/>
    <col min="2" max="2" width="18" style="42" customWidth="1"/>
    <col min="3" max="3" width="20.83203125" style="41" customWidth="1"/>
    <col min="4" max="4" width="13.1640625" style="41" customWidth="1"/>
    <col min="5" max="5" width="25.33203125" style="41" customWidth="1"/>
    <col min="6" max="6" width="27.6640625" style="41" customWidth="1"/>
    <col min="7" max="16384" width="8.83203125" style="41"/>
  </cols>
  <sheetData>
    <row r="1" spans="1:6" x14ac:dyDescent="0.2">
      <c r="A1" s="577" t="s">
        <v>415</v>
      </c>
      <c r="B1" s="577"/>
      <c r="C1" s="577"/>
      <c r="D1" s="577"/>
      <c r="E1" s="577"/>
      <c r="F1" s="577"/>
    </row>
    <row r="2" spans="1:6" x14ac:dyDescent="0.2">
      <c r="A2" s="108" t="s">
        <v>416</v>
      </c>
      <c r="B2" s="108">
        <v>2710</v>
      </c>
      <c r="C2"/>
      <c r="D2"/>
      <c r="E2" s="11"/>
      <c r="F2"/>
    </row>
    <row r="3" spans="1:6" x14ac:dyDescent="0.2">
      <c r="A3" s="108" t="s">
        <v>417</v>
      </c>
      <c r="B3" s="108">
        <v>6</v>
      </c>
      <c r="C3"/>
      <c r="D3"/>
      <c r="E3" s="11"/>
      <c r="F3"/>
    </row>
    <row r="5" spans="1:6" ht="80" x14ac:dyDescent="0.2">
      <c r="A5" s="43" t="s">
        <v>118</v>
      </c>
      <c r="B5" s="43" t="s">
        <v>414</v>
      </c>
      <c r="C5" s="43" t="s">
        <v>674</v>
      </c>
      <c r="D5" s="43" t="s">
        <v>123</v>
      </c>
      <c r="E5" s="43" t="s">
        <v>124</v>
      </c>
      <c r="F5" s="43" t="s">
        <v>136</v>
      </c>
    </row>
    <row r="6" spans="1:6" ht="15" customHeight="1" x14ac:dyDescent="0.2">
      <c r="A6" s="260">
        <v>1</v>
      </c>
      <c r="B6" s="38">
        <v>30</v>
      </c>
      <c r="C6" s="45">
        <v>1.9</v>
      </c>
      <c r="D6" s="45">
        <v>1.42</v>
      </c>
      <c r="E6" s="88">
        <v>24.1</v>
      </c>
      <c r="F6" s="38">
        <f>C6*D6*B6*(1-E6%)*0.1</f>
        <v>6.1433460000000002</v>
      </c>
    </row>
    <row r="7" spans="1:6" ht="16.25" customHeight="1" x14ac:dyDescent="0.2">
      <c r="A7" s="260">
        <v>2</v>
      </c>
      <c r="B7" s="38">
        <v>30</v>
      </c>
      <c r="C7" s="45">
        <v>0.8</v>
      </c>
      <c r="D7" s="45">
        <v>1.59</v>
      </c>
      <c r="E7" s="88">
        <v>12.03</v>
      </c>
      <c r="F7" s="38">
        <f t="shared" ref="F7:F10" si="0">C7*D7*B7*(1-E7%)*0.1</f>
        <v>3.356935200000001</v>
      </c>
    </row>
    <row r="8" spans="1:6" ht="16.25" customHeight="1" x14ac:dyDescent="0.2">
      <c r="A8" s="260">
        <v>3</v>
      </c>
      <c r="B8" s="38">
        <v>30</v>
      </c>
      <c r="C8" s="45">
        <v>1.1000000000000001</v>
      </c>
      <c r="D8" s="45">
        <v>1.4</v>
      </c>
      <c r="E8" s="88">
        <v>9.51</v>
      </c>
      <c r="F8" s="38">
        <f t="shared" si="0"/>
        <v>4.180638000000001</v>
      </c>
    </row>
    <row r="9" spans="1:6" ht="16.25" customHeight="1" x14ac:dyDescent="0.2">
      <c r="A9" s="260">
        <v>4</v>
      </c>
      <c r="B9" s="38">
        <v>30</v>
      </c>
      <c r="C9" s="45">
        <v>0.5</v>
      </c>
      <c r="D9" s="45">
        <v>1.53</v>
      </c>
      <c r="E9" s="88">
        <v>9.17</v>
      </c>
      <c r="F9" s="38">
        <f t="shared" si="0"/>
        <v>2.0845484999999999</v>
      </c>
    </row>
    <row r="10" spans="1:6" ht="15" customHeight="1" x14ac:dyDescent="0.2">
      <c r="A10" s="260">
        <v>5</v>
      </c>
      <c r="B10" s="38">
        <v>30</v>
      </c>
      <c r="C10" s="95">
        <v>0.9</v>
      </c>
      <c r="D10" s="96">
        <v>1.4</v>
      </c>
      <c r="E10" s="88">
        <v>1.93</v>
      </c>
      <c r="F10" s="38">
        <f t="shared" si="0"/>
        <v>3.7070460000000001</v>
      </c>
    </row>
    <row r="11" spans="1:6" ht="15.5" customHeight="1" x14ac:dyDescent="0.2">
      <c r="A11" s="39">
        <v>6</v>
      </c>
      <c r="B11" s="40">
        <v>30</v>
      </c>
      <c r="C11" s="40">
        <v>0.7</v>
      </c>
      <c r="D11" s="38">
        <v>1.53</v>
      </c>
      <c r="E11" s="88">
        <v>44.13</v>
      </c>
      <c r="F11" s="38">
        <f>C11*D11*B11*(1-E11%)*0.1</f>
        <v>1.7951030999999997</v>
      </c>
    </row>
    <row r="12" spans="1:6" ht="14.5" customHeight="1" x14ac:dyDescent="0.2">
      <c r="A12" s="39">
        <v>7</v>
      </c>
      <c r="B12" s="40">
        <v>30</v>
      </c>
      <c r="C12" s="40">
        <v>1.1000000000000001</v>
      </c>
      <c r="D12" s="38">
        <v>1.52</v>
      </c>
      <c r="E12" s="88">
        <v>2.59</v>
      </c>
      <c r="F12" s="38">
        <f t="shared" ref="F12:F27" si="1">C12*D12*B12*(1-E12%)*0.1</f>
        <v>4.8860856000000013</v>
      </c>
    </row>
    <row r="13" spans="1:6" ht="13.75" customHeight="1" x14ac:dyDescent="0.2">
      <c r="A13" s="39">
        <v>8</v>
      </c>
      <c r="B13" s="40">
        <v>30</v>
      </c>
      <c r="C13" s="40">
        <v>0.7</v>
      </c>
      <c r="D13" s="38">
        <v>1.5</v>
      </c>
      <c r="E13" s="88">
        <v>22.55</v>
      </c>
      <c r="F13" s="38">
        <f t="shared" si="1"/>
        <v>2.4396749999999994</v>
      </c>
    </row>
    <row r="14" spans="1:6" ht="14.5" customHeight="1" x14ac:dyDescent="0.2">
      <c r="A14" s="39">
        <v>9</v>
      </c>
      <c r="B14" s="40">
        <v>30</v>
      </c>
      <c r="C14" s="40">
        <v>0.9</v>
      </c>
      <c r="D14" s="38">
        <v>1.54</v>
      </c>
      <c r="E14" s="88">
        <v>11.14</v>
      </c>
      <c r="F14" s="38">
        <f t="shared" si="1"/>
        <v>3.6947988000000009</v>
      </c>
    </row>
    <row r="15" spans="1:6" ht="14.5" customHeight="1" x14ac:dyDescent="0.2">
      <c r="A15" s="39">
        <v>10</v>
      </c>
      <c r="B15" s="40">
        <v>30</v>
      </c>
      <c r="C15" s="95">
        <v>1</v>
      </c>
      <c r="D15" s="96">
        <v>1.5</v>
      </c>
      <c r="E15" s="88">
        <v>22.55</v>
      </c>
      <c r="F15" s="38">
        <f t="shared" si="1"/>
        <v>3.4852500000000002</v>
      </c>
    </row>
    <row r="16" spans="1:6" ht="14.5" customHeight="1" x14ac:dyDescent="0.2">
      <c r="A16" s="39">
        <v>11</v>
      </c>
      <c r="B16" s="40">
        <v>30</v>
      </c>
      <c r="C16" s="40">
        <v>1.1000000000000001</v>
      </c>
      <c r="D16" s="38">
        <v>1.45</v>
      </c>
      <c r="E16" s="88">
        <v>16.27</v>
      </c>
      <c r="F16" s="38">
        <f t="shared" si="1"/>
        <v>4.0064805000000003</v>
      </c>
    </row>
    <row r="17" spans="1:32" ht="14.5" customHeight="1" x14ac:dyDescent="0.2">
      <c r="A17" s="39">
        <v>12</v>
      </c>
      <c r="B17" s="40">
        <v>30</v>
      </c>
      <c r="C17" s="40">
        <v>0.8</v>
      </c>
      <c r="D17" s="38">
        <v>1.4</v>
      </c>
      <c r="E17" s="88">
        <v>12.6</v>
      </c>
      <c r="F17" s="38">
        <f t="shared" si="1"/>
        <v>2.9366399999999997</v>
      </c>
    </row>
    <row r="18" spans="1:32" ht="14.5" customHeight="1" x14ac:dyDescent="0.2">
      <c r="A18" s="39">
        <v>13</v>
      </c>
      <c r="B18" s="40">
        <v>30</v>
      </c>
      <c r="C18" s="45">
        <v>1.3</v>
      </c>
      <c r="D18" s="45">
        <v>1.42</v>
      </c>
      <c r="E18" s="88">
        <v>30.99</v>
      </c>
      <c r="F18" s="38">
        <f t="shared" si="1"/>
        <v>3.821773799999999</v>
      </c>
    </row>
    <row r="19" spans="1:32" ht="14.5" customHeight="1" x14ac:dyDescent="0.2">
      <c r="A19" s="39">
        <v>14</v>
      </c>
      <c r="B19" s="40">
        <v>30</v>
      </c>
      <c r="C19" s="45">
        <v>0.8</v>
      </c>
      <c r="D19" s="45">
        <v>1.53</v>
      </c>
      <c r="E19" s="88">
        <v>2.31</v>
      </c>
      <c r="F19" s="38">
        <f t="shared" si="1"/>
        <v>3.5871768000000004</v>
      </c>
    </row>
    <row r="20" spans="1:32" ht="14.5" customHeight="1" x14ac:dyDescent="0.2">
      <c r="A20" s="39">
        <v>15</v>
      </c>
      <c r="B20" s="40">
        <v>30</v>
      </c>
      <c r="C20" s="45">
        <v>2.1</v>
      </c>
      <c r="D20" s="45">
        <v>1.42</v>
      </c>
      <c r="E20" s="88">
        <v>4.9400000000000004</v>
      </c>
      <c r="F20" s="38">
        <f t="shared" si="1"/>
        <v>8.5040675999999991</v>
      </c>
    </row>
    <row r="21" spans="1:32" ht="14.5" customHeight="1" x14ac:dyDescent="0.2">
      <c r="A21" s="39">
        <v>16</v>
      </c>
      <c r="B21" s="40">
        <v>30</v>
      </c>
      <c r="C21" s="45">
        <v>0.5</v>
      </c>
      <c r="D21" s="45">
        <v>1.54</v>
      </c>
      <c r="E21" s="88">
        <v>19.13</v>
      </c>
      <c r="F21" s="38">
        <f t="shared" si="1"/>
        <v>1.8680970000000003</v>
      </c>
    </row>
    <row r="22" spans="1:32" ht="14.5" customHeight="1" x14ac:dyDescent="0.2">
      <c r="A22" s="39">
        <v>17</v>
      </c>
      <c r="B22" s="40">
        <v>30</v>
      </c>
      <c r="C22" s="45">
        <v>0.9</v>
      </c>
      <c r="D22" s="45">
        <v>1.49</v>
      </c>
      <c r="E22" s="88">
        <v>34.630000000000003</v>
      </c>
      <c r="F22" s="38">
        <f t="shared" si="1"/>
        <v>2.6298350999999998</v>
      </c>
    </row>
    <row r="23" spans="1:32" ht="14.5" customHeight="1" x14ac:dyDescent="0.2">
      <c r="A23" s="39">
        <v>18</v>
      </c>
      <c r="B23" s="40">
        <v>30</v>
      </c>
      <c r="C23" s="45">
        <v>1.1000000000000001</v>
      </c>
      <c r="D23" s="45">
        <v>1.53</v>
      </c>
      <c r="E23" s="88">
        <v>5.51</v>
      </c>
      <c r="F23" s="38">
        <f t="shared" si="1"/>
        <v>4.7708001000000015</v>
      </c>
    </row>
    <row r="24" spans="1:32" ht="12.5" customHeight="1" x14ac:dyDescent="0.2">
      <c r="A24" s="39">
        <v>19</v>
      </c>
      <c r="B24" s="40">
        <v>30</v>
      </c>
      <c r="C24" s="45">
        <v>0.6</v>
      </c>
      <c r="D24" s="45">
        <v>1.53</v>
      </c>
      <c r="E24" s="88">
        <v>10.58</v>
      </c>
      <c r="F24" s="38">
        <f t="shared" si="1"/>
        <v>2.4626268000000002</v>
      </c>
    </row>
    <row r="25" spans="1:32" ht="16.75" customHeight="1" x14ac:dyDescent="0.2">
      <c r="A25" s="39">
        <v>20</v>
      </c>
      <c r="B25" s="40">
        <v>30</v>
      </c>
      <c r="C25" s="45">
        <v>0.71</v>
      </c>
      <c r="D25" s="45">
        <v>1.53</v>
      </c>
      <c r="E25" s="88">
        <v>25.51</v>
      </c>
      <c r="F25" s="38">
        <f t="shared" si="1"/>
        <v>2.4275546100000001</v>
      </c>
    </row>
    <row r="26" spans="1:32" ht="16.75" customHeight="1" x14ac:dyDescent="0.2">
      <c r="A26" s="39">
        <v>21</v>
      </c>
      <c r="B26" s="40">
        <v>30</v>
      </c>
      <c r="C26" s="40">
        <v>0.8</v>
      </c>
      <c r="D26" s="38">
        <v>1.4</v>
      </c>
      <c r="E26" s="88">
        <v>12.6</v>
      </c>
      <c r="F26" s="38">
        <f t="shared" si="1"/>
        <v>2.9366399999999997</v>
      </c>
    </row>
    <row r="27" spans="1:32" s="261" customFormat="1" ht="16.75" customHeight="1" x14ac:dyDescent="0.2">
      <c r="A27" s="39">
        <v>22</v>
      </c>
      <c r="B27" s="40">
        <v>30</v>
      </c>
      <c r="C27" s="40">
        <v>1.1000000000000001</v>
      </c>
      <c r="D27" s="38">
        <v>1.52</v>
      </c>
      <c r="E27" s="88">
        <v>2.59</v>
      </c>
      <c r="F27" s="38">
        <f t="shared" si="1"/>
        <v>4.8860856000000013</v>
      </c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</row>
    <row r="28" spans="1:32" ht="16.25" customHeight="1" x14ac:dyDescent="0.2">
      <c r="A28" s="107"/>
      <c r="B28" s="48"/>
      <c r="C28" s="262"/>
      <c r="D28" s="262"/>
      <c r="E28" s="262"/>
      <c r="F28" s="48" t="s">
        <v>673</v>
      </c>
      <c r="G28" s="41">
        <f>MAX(F6:F10,F11:F15,F16:F20,F21:F27)</f>
        <v>8.5040675999999991</v>
      </c>
    </row>
    <row r="29" spans="1:32" x14ac:dyDescent="0.2">
      <c r="A29" s="46"/>
      <c r="B29" s="47"/>
      <c r="C29" s="46"/>
      <c r="D29" s="46"/>
    </row>
    <row r="30" spans="1:32" x14ac:dyDescent="0.2">
      <c r="A30" s="46"/>
      <c r="B30" s="47"/>
      <c r="C30" s="46"/>
      <c r="D30" s="46"/>
    </row>
  </sheetData>
  <mergeCells count="1">
    <mergeCell ref="A1:F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CD77A-B5FF-2440-96E8-68D6F4AEBE93}">
  <dimension ref="A1:AB137"/>
  <sheetViews>
    <sheetView zoomScaleNormal="100" workbookViewId="0">
      <selection activeCell="C14" sqref="C14:C22"/>
    </sheetView>
  </sheetViews>
  <sheetFormatPr baseColWidth="10" defaultColWidth="8.83203125" defaultRowHeight="15" x14ac:dyDescent="0.2"/>
  <cols>
    <col min="1" max="1" width="7.5" style="214" customWidth="1"/>
    <col min="2" max="2" width="17.5" style="213" customWidth="1"/>
    <col min="3" max="3" width="21.83203125" style="213" customWidth="1"/>
    <col min="4" max="4" width="8.5" style="213" customWidth="1"/>
    <col min="5" max="5" width="12.6640625" style="213" customWidth="1"/>
    <col min="6" max="6" width="8.33203125" style="213" customWidth="1"/>
    <col min="7" max="7" width="9.5" style="213" customWidth="1"/>
    <col min="8" max="9" width="12.6640625" style="213" customWidth="1"/>
    <col min="10" max="10" width="14" style="214" customWidth="1"/>
    <col min="11" max="11" width="15.5" style="213" customWidth="1"/>
    <col min="12" max="12" width="13.1640625" style="214" customWidth="1"/>
    <col min="13" max="13" width="19.33203125" style="214" customWidth="1"/>
    <col min="14" max="14" width="27.6640625" style="213" customWidth="1"/>
    <col min="15" max="15" width="16.6640625" style="213" customWidth="1"/>
    <col min="16" max="24" width="8.83203125" style="213"/>
    <col min="25" max="25" width="11" style="213" customWidth="1"/>
    <col min="26" max="26" width="15.33203125" style="213" customWidth="1"/>
    <col min="27" max="27" width="8.83203125" style="213"/>
    <col min="28" max="28" width="9.6640625" style="213" bestFit="1" customWidth="1"/>
    <col min="29" max="16384" width="8.83203125" style="213"/>
  </cols>
  <sheetData>
    <row r="1" spans="1:28" x14ac:dyDescent="0.2">
      <c r="A1" s="547" t="s">
        <v>415</v>
      </c>
      <c r="B1" s="547"/>
      <c r="C1" s="547"/>
      <c r="D1" s="547"/>
      <c r="E1" s="547"/>
      <c r="F1" s="547"/>
      <c r="G1" s="325"/>
    </row>
    <row r="2" spans="1:28" x14ac:dyDescent="0.2">
      <c r="A2" s="108" t="s">
        <v>416</v>
      </c>
      <c r="B2" s="108">
        <v>2710</v>
      </c>
      <c r="C2"/>
      <c r="D2"/>
      <c r="E2" s="11"/>
      <c r="F2"/>
      <c r="G2"/>
    </row>
    <row r="3" spans="1:28" x14ac:dyDescent="0.2">
      <c r="A3" s="108" t="s">
        <v>417</v>
      </c>
      <c r="B3" s="108">
        <v>6</v>
      </c>
      <c r="C3"/>
      <c r="D3"/>
      <c r="E3" s="11"/>
      <c r="F3"/>
      <c r="G3"/>
    </row>
    <row r="6" spans="1:28" ht="20.5" customHeight="1" x14ac:dyDescent="0.2"/>
    <row r="8" spans="1:28" ht="78" customHeight="1" x14ac:dyDescent="0.2">
      <c r="A8" s="43" t="s">
        <v>115</v>
      </c>
      <c r="B8" s="43" t="s">
        <v>116</v>
      </c>
      <c r="C8" s="43" t="s">
        <v>117</v>
      </c>
      <c r="D8" s="43" t="s">
        <v>33</v>
      </c>
      <c r="E8" s="43" t="s">
        <v>118</v>
      </c>
      <c r="F8" s="43" t="s">
        <v>119</v>
      </c>
      <c r="G8" s="43" t="s">
        <v>699</v>
      </c>
      <c r="H8" s="43" t="s">
        <v>120</v>
      </c>
      <c r="I8" s="43" t="s">
        <v>121</v>
      </c>
      <c r="J8" s="43" t="s">
        <v>618</v>
      </c>
      <c r="K8" s="43" t="s">
        <v>619</v>
      </c>
      <c r="L8" s="43" t="s">
        <v>123</v>
      </c>
      <c r="M8" s="43" t="s">
        <v>124</v>
      </c>
      <c r="N8" s="43" t="s">
        <v>136</v>
      </c>
      <c r="O8" s="215"/>
      <c r="R8" s="216"/>
      <c r="S8" s="216"/>
      <c r="T8" s="216"/>
    </row>
    <row r="9" spans="1:28" ht="23" customHeight="1" x14ac:dyDescent="0.2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127"/>
      <c r="R9" s="216"/>
      <c r="S9" s="216"/>
      <c r="T9" s="216"/>
    </row>
    <row r="10" spans="1:28" ht="25" customHeight="1" thickBot="1" x14ac:dyDescent="0.25">
      <c r="A10" s="255"/>
      <c r="B10" s="255"/>
      <c r="C10" s="255"/>
      <c r="D10" s="255"/>
      <c r="E10" s="255"/>
      <c r="F10" s="255"/>
      <c r="G10" s="255"/>
      <c r="H10" s="255"/>
      <c r="I10" s="255"/>
      <c r="J10" s="255" t="s">
        <v>621</v>
      </c>
      <c r="K10" s="255" t="s">
        <v>622</v>
      </c>
      <c r="L10" s="255"/>
      <c r="M10" s="255"/>
      <c r="N10" s="255"/>
      <c r="O10" s="127"/>
      <c r="R10" s="216"/>
      <c r="S10" s="216"/>
      <c r="T10" s="216"/>
    </row>
    <row r="11" spans="1:28" ht="15" customHeight="1" x14ac:dyDescent="0.2">
      <c r="A11" s="608">
        <v>1</v>
      </c>
      <c r="B11" s="621" t="s">
        <v>125</v>
      </c>
      <c r="C11" s="621" t="s">
        <v>709</v>
      </c>
      <c r="D11" s="624">
        <f>Assumptions!D61</f>
        <v>183.761</v>
      </c>
      <c r="E11" s="617">
        <v>3</v>
      </c>
      <c r="F11" s="326">
        <v>1</v>
      </c>
      <c r="G11" s="330">
        <v>44839</v>
      </c>
      <c r="H11" s="331">
        <v>-29.516928</v>
      </c>
      <c r="I11" s="331">
        <v>30.506045</v>
      </c>
      <c r="J11" s="332">
        <v>30</v>
      </c>
      <c r="K11" s="332">
        <v>5.4</v>
      </c>
      <c r="L11" s="333">
        <v>1.3</v>
      </c>
      <c r="M11" s="334">
        <v>0</v>
      </c>
      <c r="N11" s="335">
        <f>K11*L11*J11*(1-M11%)*0.1</f>
        <v>21.060000000000002</v>
      </c>
      <c r="O11" s="217"/>
      <c r="P11" s="216"/>
      <c r="Q11" s="216"/>
      <c r="R11" s="218"/>
      <c r="S11" s="218"/>
      <c r="T11" s="218"/>
      <c r="U11" s="216"/>
      <c r="X11" s="219"/>
      <c r="Y11" s="220"/>
    </row>
    <row r="12" spans="1:28" ht="16.25" customHeight="1" x14ac:dyDescent="0.2">
      <c r="A12" s="609"/>
      <c r="B12" s="622"/>
      <c r="C12" s="622"/>
      <c r="D12" s="625"/>
      <c r="E12" s="618"/>
      <c r="F12" s="327">
        <v>2</v>
      </c>
      <c r="G12" s="336">
        <v>44839</v>
      </c>
      <c r="H12" s="337">
        <v>-29.517728000000002</v>
      </c>
      <c r="I12" s="337">
        <v>30.506844999999998</v>
      </c>
      <c r="J12" s="338">
        <v>30</v>
      </c>
      <c r="K12" s="338">
        <v>2.2000000000000002</v>
      </c>
      <c r="L12" s="45">
        <v>1.2</v>
      </c>
      <c r="M12" s="88">
        <v>0</v>
      </c>
      <c r="N12" s="339">
        <f t="shared" ref="N12:N13" si="0">K12*L12*J12*(1-M12%)*0.1</f>
        <v>7.9200000000000008</v>
      </c>
      <c r="O12" s="217"/>
      <c r="P12" s="216"/>
      <c r="Q12" s="216"/>
      <c r="R12" s="216"/>
      <c r="S12" s="216"/>
      <c r="T12" s="216"/>
      <c r="U12" s="216"/>
      <c r="X12" s="219"/>
      <c r="Y12" s="220"/>
      <c r="Z12" s="607"/>
      <c r="AA12" s="607"/>
      <c r="AB12" s="607"/>
    </row>
    <row r="13" spans="1:28" ht="15" customHeight="1" thickBot="1" x14ac:dyDescent="0.25">
      <c r="A13" s="620"/>
      <c r="B13" s="623"/>
      <c r="C13" s="623"/>
      <c r="D13" s="626"/>
      <c r="E13" s="627"/>
      <c r="F13" s="329">
        <v>3</v>
      </c>
      <c r="G13" s="367">
        <v>44895</v>
      </c>
      <c r="H13" s="444">
        <v>-29.506900000000002</v>
      </c>
      <c r="I13" s="444">
        <v>30.508053799999999</v>
      </c>
      <c r="J13" s="411">
        <v>30</v>
      </c>
      <c r="K13" s="411">
        <v>7.1</v>
      </c>
      <c r="L13" s="379">
        <v>1.2</v>
      </c>
      <c r="M13" s="380">
        <v>3.5</v>
      </c>
      <c r="N13" s="381">
        <f t="shared" si="0"/>
        <v>24.665400000000002</v>
      </c>
      <c r="O13" s="217"/>
      <c r="P13" s="216"/>
      <c r="Q13" s="216"/>
      <c r="R13" s="216"/>
      <c r="S13" s="216"/>
      <c r="T13" s="216"/>
      <c r="U13" s="216"/>
      <c r="X13" s="219"/>
      <c r="Y13" s="220"/>
      <c r="Z13" s="215"/>
      <c r="AA13" s="215"/>
      <c r="AB13" s="215"/>
    </row>
    <row r="14" spans="1:28" ht="15.5" customHeight="1" x14ac:dyDescent="0.2">
      <c r="A14" s="608">
        <v>2</v>
      </c>
      <c r="B14" s="611" t="s">
        <v>126</v>
      </c>
      <c r="C14" s="611"/>
      <c r="D14" s="614">
        <f>Assumptions!D62</f>
        <v>6772.8780000000015</v>
      </c>
      <c r="E14" s="617">
        <v>9</v>
      </c>
      <c r="F14" s="391">
        <v>1</v>
      </c>
      <c r="G14" s="392">
        <v>44831</v>
      </c>
      <c r="H14" s="445">
        <v>-31.957989999999999</v>
      </c>
      <c r="I14" s="445">
        <v>24.40964</v>
      </c>
      <c r="J14" s="446">
        <v>30</v>
      </c>
      <c r="K14" s="365">
        <v>2.4</v>
      </c>
      <c r="L14" s="332">
        <v>1.4</v>
      </c>
      <c r="M14" s="334">
        <v>2</v>
      </c>
      <c r="N14" s="335">
        <f>K14*L14*J14*(1-M14%)*0.1</f>
        <v>9.8783999999999992</v>
      </c>
      <c r="O14" s="217"/>
      <c r="P14"/>
      <c r="Q14" s="216"/>
      <c r="R14" s="218"/>
      <c r="S14" s="218"/>
      <c r="T14" s="218"/>
      <c r="U14"/>
      <c r="W14" s="218"/>
      <c r="X14" s="219"/>
      <c r="Y14" s="220"/>
      <c r="Z14" s="221"/>
      <c r="AA14" s="222"/>
      <c r="AB14" s="222"/>
    </row>
    <row r="15" spans="1:28" ht="14.5" customHeight="1" x14ac:dyDescent="0.2">
      <c r="A15" s="609"/>
      <c r="B15" s="612"/>
      <c r="C15" s="612"/>
      <c r="D15" s="615"/>
      <c r="E15" s="618"/>
      <c r="F15" s="351">
        <v>2</v>
      </c>
      <c r="G15" s="352">
        <v>44831</v>
      </c>
      <c r="H15" s="353">
        <v>-31.954219999999999</v>
      </c>
      <c r="I15" s="353">
        <v>24.405429999999999</v>
      </c>
      <c r="J15" s="354">
        <v>80</v>
      </c>
      <c r="K15" s="355">
        <v>14.1</v>
      </c>
      <c r="L15" s="338">
        <v>1.4</v>
      </c>
      <c r="M15" s="88">
        <v>1</v>
      </c>
      <c r="N15" s="339">
        <f t="shared" ref="N15:N22" si="1">K15*L15*J15*(1-M15%)*0.1</f>
        <v>156.3408</v>
      </c>
      <c r="O15" s="223"/>
      <c r="P15"/>
      <c r="Q15" s="216"/>
      <c r="R15" s="216"/>
      <c r="S15" s="216"/>
      <c r="T15" s="216"/>
      <c r="U15"/>
      <c r="W15" s="218"/>
      <c r="X15" s="219"/>
      <c r="Y15" s="220"/>
      <c r="Z15" s="221"/>
      <c r="AA15" s="222"/>
      <c r="AB15" s="222"/>
    </row>
    <row r="16" spans="1:28" ht="14.5" customHeight="1" x14ac:dyDescent="0.2">
      <c r="A16" s="609"/>
      <c r="B16" s="612"/>
      <c r="C16" s="612"/>
      <c r="D16" s="615"/>
      <c r="E16" s="618"/>
      <c r="F16" s="351">
        <v>3</v>
      </c>
      <c r="G16" s="352">
        <v>44831</v>
      </c>
      <c r="H16" s="353">
        <v>-31.862780000000001</v>
      </c>
      <c r="I16" s="353">
        <v>24.67578</v>
      </c>
      <c r="J16" s="354">
        <v>30</v>
      </c>
      <c r="K16" s="355">
        <v>6.7</v>
      </c>
      <c r="L16" s="338">
        <v>1.4</v>
      </c>
      <c r="M16" s="88">
        <v>1.3</v>
      </c>
      <c r="N16" s="339">
        <f t="shared" si="1"/>
        <v>27.774179999999998</v>
      </c>
      <c r="O16" s="223"/>
      <c r="P16"/>
      <c r="Q16" s="216"/>
      <c r="R16" s="216"/>
      <c r="S16" s="216"/>
      <c r="T16" s="216"/>
      <c r="U16"/>
      <c r="X16" s="219"/>
      <c r="Y16" s="220"/>
      <c r="Z16" s="221"/>
      <c r="AA16" s="222"/>
      <c r="AB16" s="222"/>
    </row>
    <row r="17" spans="1:28" ht="14.5" customHeight="1" x14ac:dyDescent="0.2">
      <c r="A17" s="609"/>
      <c r="B17" s="612"/>
      <c r="C17" s="612"/>
      <c r="D17" s="615"/>
      <c r="E17" s="618"/>
      <c r="F17" s="351">
        <v>4</v>
      </c>
      <c r="G17" s="352">
        <v>44831</v>
      </c>
      <c r="H17" s="353">
        <v>-31.964210000000001</v>
      </c>
      <c r="I17" s="353">
        <v>24.402149999999999</v>
      </c>
      <c r="J17" s="354">
        <v>30</v>
      </c>
      <c r="K17" s="355">
        <v>5.3</v>
      </c>
      <c r="L17" s="338">
        <v>1.2</v>
      </c>
      <c r="M17" s="88">
        <v>0</v>
      </c>
      <c r="N17" s="339">
        <f t="shared" si="1"/>
        <v>19.079999999999998</v>
      </c>
      <c r="O17" s="223"/>
      <c r="P17"/>
      <c r="Q17" s="216"/>
      <c r="R17" s="216"/>
      <c r="S17" s="216"/>
      <c r="T17" s="216"/>
      <c r="U17"/>
      <c r="X17" s="219"/>
      <c r="Y17" s="220"/>
      <c r="Z17" s="221"/>
      <c r="AA17" s="222"/>
      <c r="AB17" s="222"/>
    </row>
    <row r="18" spans="1:28" ht="14.5" customHeight="1" x14ac:dyDescent="0.2">
      <c r="A18" s="609"/>
      <c r="B18" s="612"/>
      <c r="C18" s="612"/>
      <c r="D18" s="615"/>
      <c r="E18" s="618"/>
      <c r="F18" s="351">
        <v>5</v>
      </c>
      <c r="G18" s="352">
        <v>44832</v>
      </c>
      <c r="H18" s="353">
        <v>-31.950109999999999</v>
      </c>
      <c r="I18" s="353">
        <v>24.419180000000001</v>
      </c>
      <c r="J18" s="354">
        <v>120</v>
      </c>
      <c r="K18" s="355">
        <v>4.4000000000000004</v>
      </c>
      <c r="L18" s="338">
        <v>1.5</v>
      </c>
      <c r="M18" s="88">
        <v>2.8</v>
      </c>
      <c r="N18" s="339">
        <f t="shared" si="1"/>
        <v>76.982400000000013</v>
      </c>
      <c r="O18" s="223"/>
      <c r="P18"/>
      <c r="Q18" s="216"/>
      <c r="R18" s="216"/>
      <c r="S18" s="216"/>
      <c r="T18" s="216"/>
      <c r="U18"/>
      <c r="X18" s="219"/>
      <c r="Y18" s="224"/>
      <c r="Z18" s="221"/>
      <c r="AA18" s="222"/>
      <c r="AB18" s="222"/>
    </row>
    <row r="19" spans="1:28" ht="14.5" customHeight="1" x14ac:dyDescent="0.2">
      <c r="A19" s="609"/>
      <c r="B19" s="612"/>
      <c r="C19" s="612"/>
      <c r="D19" s="615"/>
      <c r="E19" s="618"/>
      <c r="F19" s="351">
        <v>6</v>
      </c>
      <c r="G19" s="352">
        <v>44832</v>
      </c>
      <c r="H19" s="353">
        <v>-31.81785</v>
      </c>
      <c r="I19" s="353">
        <v>24.707000000000001</v>
      </c>
      <c r="J19" s="354">
        <v>30</v>
      </c>
      <c r="K19" s="40">
        <v>4.2</v>
      </c>
      <c r="L19" s="38">
        <v>1.5</v>
      </c>
      <c r="M19" s="356">
        <v>3.8</v>
      </c>
      <c r="N19" s="339">
        <f t="shared" si="1"/>
        <v>18.181800000000003</v>
      </c>
      <c r="O19" s="223"/>
      <c r="P19"/>
      <c r="Q19" s="216"/>
      <c r="R19" s="216"/>
      <c r="S19" s="216"/>
      <c r="T19" s="216"/>
      <c r="U19"/>
      <c r="X19" s="219"/>
      <c r="Y19" s="220"/>
      <c r="Z19" s="221"/>
      <c r="AA19" s="222"/>
      <c r="AB19" s="222"/>
    </row>
    <row r="20" spans="1:28" ht="14.5" customHeight="1" x14ac:dyDescent="0.2">
      <c r="A20" s="609"/>
      <c r="B20" s="612"/>
      <c r="C20" s="612"/>
      <c r="D20" s="615"/>
      <c r="E20" s="618"/>
      <c r="F20" s="351">
        <v>7</v>
      </c>
      <c r="G20" s="352">
        <v>44907</v>
      </c>
      <c r="H20" s="353">
        <v>-31.965990000000001</v>
      </c>
      <c r="I20" s="353">
        <v>24.417639999999999</v>
      </c>
      <c r="J20" s="354">
        <v>30</v>
      </c>
      <c r="K20" s="355">
        <v>3.2</v>
      </c>
      <c r="L20" s="338">
        <v>1.5</v>
      </c>
      <c r="M20" s="88">
        <v>1.9</v>
      </c>
      <c r="N20" s="339">
        <f t="shared" si="1"/>
        <v>14.126400000000004</v>
      </c>
      <c r="O20" s="223"/>
      <c r="P20"/>
      <c r="Q20" s="216"/>
      <c r="R20" s="216"/>
      <c r="S20" s="216"/>
      <c r="T20" s="216"/>
      <c r="U20"/>
      <c r="X20" s="219"/>
      <c r="Y20" s="220"/>
      <c r="Z20" s="221"/>
      <c r="AA20" s="222"/>
      <c r="AB20" s="222"/>
    </row>
    <row r="21" spans="1:28" ht="14.5" customHeight="1" x14ac:dyDescent="0.2">
      <c r="A21" s="609"/>
      <c r="B21" s="612"/>
      <c r="C21" s="612"/>
      <c r="D21" s="615"/>
      <c r="E21" s="618"/>
      <c r="F21" s="351">
        <v>8</v>
      </c>
      <c r="G21" s="352">
        <v>44907</v>
      </c>
      <c r="H21" s="353">
        <v>-31.940200000000001</v>
      </c>
      <c r="I21" s="353">
        <v>24.420829999999999</v>
      </c>
      <c r="J21" s="354">
        <v>30</v>
      </c>
      <c r="K21" s="355">
        <v>6.9</v>
      </c>
      <c r="L21" s="338">
        <v>1.4</v>
      </c>
      <c r="M21" s="88">
        <v>1.1000000000000001</v>
      </c>
      <c r="N21" s="339">
        <f t="shared" si="1"/>
        <v>28.661220000000004</v>
      </c>
      <c r="O21" s="223"/>
      <c r="P21"/>
      <c r="Q21" s="216"/>
      <c r="R21" s="216"/>
      <c r="S21" s="216"/>
      <c r="T21" s="216"/>
      <c r="U21"/>
      <c r="X21" s="219"/>
      <c r="Y21" s="220"/>
      <c r="Z21" s="221"/>
      <c r="AA21" s="222"/>
      <c r="AB21" s="222"/>
    </row>
    <row r="22" spans="1:28" ht="19" customHeight="1" thickBot="1" x14ac:dyDescent="0.25">
      <c r="A22" s="610"/>
      <c r="B22" s="613"/>
      <c r="C22" s="613"/>
      <c r="D22" s="616"/>
      <c r="E22" s="619"/>
      <c r="F22" s="357">
        <v>9</v>
      </c>
      <c r="G22" s="441">
        <v>44907</v>
      </c>
      <c r="H22" s="358">
        <v>-31.932230000000001</v>
      </c>
      <c r="I22" s="358">
        <v>24.412320000000001</v>
      </c>
      <c r="J22" s="359">
        <v>30</v>
      </c>
      <c r="K22" s="360">
        <v>8.1999999999999993</v>
      </c>
      <c r="L22" s="342">
        <v>1.2</v>
      </c>
      <c r="M22" s="344">
        <v>39</v>
      </c>
      <c r="N22" s="345">
        <f t="shared" si="1"/>
        <v>18.007199999999994</v>
      </c>
      <c r="O22" s="223"/>
      <c r="P22"/>
      <c r="Q22" s="216"/>
      <c r="R22" s="216"/>
      <c r="S22" s="216"/>
      <c r="T22" s="216"/>
      <c r="U22"/>
      <c r="X22" s="219"/>
      <c r="Y22" s="220"/>
      <c r="Z22" s="221"/>
      <c r="AA22" s="222"/>
      <c r="AB22" s="222"/>
    </row>
    <row r="23" spans="1:28" ht="19.25" customHeight="1" x14ac:dyDescent="0.2">
      <c r="A23" s="633">
        <v>3</v>
      </c>
      <c r="B23" s="632" t="s">
        <v>126</v>
      </c>
      <c r="C23" s="632"/>
      <c r="D23" s="631">
        <f>Assumptions!D63</f>
        <v>4319.8270000000002</v>
      </c>
      <c r="E23" s="632">
        <v>6</v>
      </c>
      <c r="F23" s="361">
        <v>1</v>
      </c>
      <c r="G23" s="362">
        <v>44832</v>
      </c>
      <c r="H23" s="363">
        <v>-31.896799999999999</v>
      </c>
      <c r="I23" s="364">
        <v>24.878640000000001</v>
      </c>
      <c r="J23" s="347">
        <v>30</v>
      </c>
      <c r="K23" s="347">
        <v>5.3</v>
      </c>
      <c r="L23" s="348">
        <v>1.4</v>
      </c>
      <c r="M23" s="349">
        <v>6.1</v>
      </c>
      <c r="N23" s="350">
        <f t="shared" ref="N23:N28" si="2">K23*L23*J23*(1-M23%)*0.1</f>
        <v>20.902139999999999</v>
      </c>
      <c r="O23" s="217"/>
      <c r="P23"/>
      <c r="Q23" s="216"/>
      <c r="R23" s="218"/>
      <c r="S23" s="218"/>
      <c r="T23" s="218"/>
      <c r="U23"/>
      <c r="X23" s="219"/>
      <c r="Y23" s="220"/>
      <c r="Z23" s="221"/>
      <c r="AA23" s="222"/>
      <c r="AB23" s="222"/>
    </row>
    <row r="24" spans="1:28" ht="19.25" customHeight="1" x14ac:dyDescent="0.2">
      <c r="A24" s="634"/>
      <c r="B24" s="618"/>
      <c r="C24" s="618"/>
      <c r="D24" s="625"/>
      <c r="E24" s="618"/>
      <c r="F24" s="327">
        <v>2</v>
      </c>
      <c r="G24" s="336">
        <v>44832</v>
      </c>
      <c r="H24" s="337">
        <v>-31.905660000000001</v>
      </c>
      <c r="I24" s="337">
        <v>24.850269999999998</v>
      </c>
      <c r="J24" s="355">
        <v>30</v>
      </c>
      <c r="K24" s="355">
        <v>7.3</v>
      </c>
      <c r="L24" s="338">
        <v>1.4</v>
      </c>
      <c r="M24" s="88">
        <v>1.6</v>
      </c>
      <c r="N24" s="339">
        <f t="shared" si="2"/>
        <v>30.169439999999998</v>
      </c>
      <c r="O24" s="223"/>
      <c r="P24"/>
      <c r="Q24" s="216"/>
      <c r="R24" s="216"/>
      <c r="S24" s="216"/>
      <c r="T24" s="216"/>
      <c r="U24"/>
      <c r="X24" s="219"/>
      <c r="Y24" s="220"/>
      <c r="Z24" s="221"/>
      <c r="AA24" s="222"/>
      <c r="AB24" s="222"/>
    </row>
    <row r="25" spans="1:28" ht="19.25" customHeight="1" x14ac:dyDescent="0.2">
      <c r="A25" s="634"/>
      <c r="B25" s="618"/>
      <c r="C25" s="618"/>
      <c r="D25" s="625"/>
      <c r="E25" s="618"/>
      <c r="F25" s="327">
        <v>3</v>
      </c>
      <c r="G25" s="336">
        <v>44832</v>
      </c>
      <c r="H25" s="337">
        <v>-31.88691</v>
      </c>
      <c r="I25" s="337">
        <v>24.906269999999999</v>
      </c>
      <c r="J25" s="355">
        <v>75</v>
      </c>
      <c r="K25" s="355">
        <v>14.3</v>
      </c>
      <c r="L25" s="338">
        <v>1</v>
      </c>
      <c r="M25" s="88">
        <v>0</v>
      </c>
      <c r="N25" s="339">
        <f t="shared" si="2"/>
        <v>107.25</v>
      </c>
      <c r="O25" s="223"/>
      <c r="P25"/>
      <c r="Q25" s="216"/>
      <c r="R25" s="216"/>
      <c r="S25" s="216"/>
      <c r="T25" s="216"/>
      <c r="U25"/>
      <c r="X25" s="219"/>
      <c r="Y25" s="220"/>
      <c r="Z25" s="221"/>
      <c r="AA25" s="222"/>
      <c r="AB25" s="222"/>
    </row>
    <row r="26" spans="1:28" ht="19.25" customHeight="1" x14ac:dyDescent="0.2">
      <c r="A26" s="634"/>
      <c r="B26" s="618"/>
      <c r="C26" s="618"/>
      <c r="D26" s="625"/>
      <c r="E26" s="618"/>
      <c r="F26" s="327">
        <v>4</v>
      </c>
      <c r="G26" s="352">
        <v>44908</v>
      </c>
      <c r="H26" s="337">
        <v>-31.902909999999999</v>
      </c>
      <c r="I26" s="337">
        <v>24.912379999999999</v>
      </c>
      <c r="J26" s="355">
        <v>30</v>
      </c>
      <c r="K26" s="40">
        <v>2.8</v>
      </c>
      <c r="L26" s="38">
        <v>1.5</v>
      </c>
      <c r="M26" s="356">
        <v>3.8</v>
      </c>
      <c r="N26" s="339">
        <f t="shared" si="2"/>
        <v>12.121199999999998</v>
      </c>
      <c r="O26" s="223"/>
      <c r="P26"/>
      <c r="Q26" s="216"/>
      <c r="R26" s="216"/>
      <c r="S26" s="216"/>
      <c r="T26" s="216"/>
      <c r="U26"/>
      <c r="X26" s="219"/>
      <c r="Y26" s="220"/>
      <c r="Z26" s="221"/>
      <c r="AA26" s="222"/>
      <c r="AB26" s="222"/>
    </row>
    <row r="27" spans="1:28" ht="19.25" customHeight="1" x14ac:dyDescent="0.2">
      <c r="A27" s="634"/>
      <c r="B27" s="618"/>
      <c r="C27" s="618"/>
      <c r="D27" s="625"/>
      <c r="E27" s="618"/>
      <c r="F27" s="327">
        <v>5</v>
      </c>
      <c r="G27" s="352">
        <v>44908</v>
      </c>
      <c r="H27" s="337">
        <v>-31.976800000000001</v>
      </c>
      <c r="I27" s="337">
        <v>24.88664</v>
      </c>
      <c r="J27" s="355">
        <v>30</v>
      </c>
      <c r="K27" s="40">
        <v>4.5999999999999996</v>
      </c>
      <c r="L27" s="38">
        <v>1.5</v>
      </c>
      <c r="M27" s="356">
        <v>2.6</v>
      </c>
      <c r="N27" s="339">
        <f t="shared" si="2"/>
        <v>20.161799999999999</v>
      </c>
      <c r="O27" s="223"/>
      <c r="P27"/>
      <c r="Q27" s="216"/>
      <c r="R27" s="216"/>
      <c r="S27" s="216"/>
      <c r="T27" s="216"/>
      <c r="U27"/>
      <c r="X27" s="219"/>
      <c r="Y27" s="220"/>
      <c r="Z27" s="221"/>
      <c r="AA27" s="222"/>
      <c r="AB27" s="222"/>
    </row>
    <row r="28" spans="1:28" ht="19.25" customHeight="1" thickBot="1" x14ac:dyDescent="0.25">
      <c r="A28" s="635"/>
      <c r="B28" s="619"/>
      <c r="C28" s="619"/>
      <c r="D28" s="636"/>
      <c r="E28" s="619"/>
      <c r="F28" s="328">
        <v>6</v>
      </c>
      <c r="G28" s="441">
        <v>44908</v>
      </c>
      <c r="H28" s="341">
        <v>-31.879059999999999</v>
      </c>
      <c r="I28" s="341">
        <v>24.86082</v>
      </c>
      <c r="J28" s="360">
        <v>30</v>
      </c>
      <c r="K28" s="360">
        <v>9.8000000000000007</v>
      </c>
      <c r="L28" s="342">
        <v>1</v>
      </c>
      <c r="M28" s="344">
        <v>0</v>
      </c>
      <c r="N28" s="345">
        <f t="shared" si="2"/>
        <v>29.400000000000002</v>
      </c>
      <c r="O28" s="223"/>
      <c r="P28"/>
      <c r="Q28" s="216"/>
      <c r="R28" s="216"/>
      <c r="S28" s="216"/>
      <c r="T28" s="216"/>
      <c r="U28"/>
      <c r="X28" s="219"/>
      <c r="Y28" s="220"/>
      <c r="Z28" s="221"/>
      <c r="AA28" s="222"/>
      <c r="AB28" s="222"/>
    </row>
    <row r="29" spans="1:28" x14ac:dyDescent="0.2">
      <c r="A29" s="628">
        <v>4</v>
      </c>
      <c r="B29" s="629" t="s">
        <v>127</v>
      </c>
      <c r="C29" s="629"/>
      <c r="D29" s="631">
        <f>Assumptions!D64</f>
        <v>1612.0500000000002</v>
      </c>
      <c r="E29" s="632">
        <v>3</v>
      </c>
      <c r="F29" s="361">
        <v>1</v>
      </c>
      <c r="G29" s="362">
        <v>44838</v>
      </c>
      <c r="H29" s="442">
        <v>-29.635210000000001</v>
      </c>
      <c r="I29" s="442">
        <v>29.9181113</v>
      </c>
      <c r="J29" s="347">
        <v>30</v>
      </c>
      <c r="K29" s="433">
        <v>16.100000000000001</v>
      </c>
      <c r="L29" s="11">
        <v>1.3</v>
      </c>
      <c r="M29" s="443">
        <v>15.1</v>
      </c>
      <c r="N29" s="350">
        <f>K29*L29*J29*(1-M29%)*0.1</f>
        <v>53.308710000000012</v>
      </c>
      <c r="O29" s="217"/>
      <c r="P29"/>
      <c r="Q29" s="216"/>
      <c r="R29" s="218"/>
      <c r="S29" s="218"/>
      <c r="T29" s="218"/>
      <c r="U29"/>
      <c r="X29" s="219"/>
      <c r="Y29" s="220"/>
      <c r="Z29" s="221"/>
      <c r="AA29" s="222"/>
      <c r="AB29" s="222"/>
    </row>
    <row r="30" spans="1:28" x14ac:dyDescent="0.2">
      <c r="A30" s="609"/>
      <c r="B30" s="612"/>
      <c r="C30" s="612"/>
      <c r="D30" s="625"/>
      <c r="E30" s="618"/>
      <c r="F30" s="327">
        <v>2</v>
      </c>
      <c r="G30" s="336">
        <v>44838</v>
      </c>
      <c r="H30" s="337">
        <v>-29.648209999999999</v>
      </c>
      <c r="I30" s="337">
        <v>29.934784199999999</v>
      </c>
      <c r="J30" s="355">
        <v>30</v>
      </c>
      <c r="K30" s="355">
        <v>13</v>
      </c>
      <c r="L30" s="366">
        <v>1.3</v>
      </c>
      <c r="M30" s="88">
        <v>8.5</v>
      </c>
      <c r="N30" s="339">
        <f>K30*L30*J30*(1-M30%)*0.1</f>
        <v>46.39050000000001</v>
      </c>
      <c r="O30" s="223"/>
      <c r="P30"/>
      <c r="Q30" s="216"/>
      <c r="R30" s="216"/>
      <c r="S30" s="216"/>
      <c r="T30" s="216"/>
      <c r="X30" s="219"/>
      <c r="Y30" s="220"/>
      <c r="Z30" s="221"/>
      <c r="AA30" s="222"/>
      <c r="AB30" s="222"/>
    </row>
    <row r="31" spans="1:28" ht="16" thickBot="1" x14ac:dyDescent="0.25">
      <c r="A31" s="620"/>
      <c r="B31" s="630"/>
      <c r="C31" s="630"/>
      <c r="D31" s="626"/>
      <c r="E31" s="627"/>
      <c r="F31" s="329">
        <v>3</v>
      </c>
      <c r="G31" s="367">
        <v>44838</v>
      </c>
      <c r="H31" s="444">
        <v>-29.656210000000002</v>
      </c>
      <c r="I31" s="444">
        <v>29.9348642</v>
      </c>
      <c r="J31" s="410">
        <v>30</v>
      </c>
      <c r="K31" s="447">
        <v>2.2000000000000002</v>
      </c>
      <c r="L31" s="11">
        <v>1.2</v>
      </c>
      <c r="M31" s="448">
        <v>2.9</v>
      </c>
      <c r="N31" s="381">
        <f>K31*L31*J31*(1-M31%)*0.1</f>
        <v>7.6903199999999998</v>
      </c>
      <c r="O31" s="223"/>
      <c r="P31"/>
      <c r="Q31" s="216"/>
      <c r="R31" s="216"/>
      <c r="S31" s="216"/>
      <c r="T31" s="216"/>
      <c r="X31" s="219"/>
      <c r="Y31" s="220"/>
      <c r="Z31" s="221"/>
      <c r="AA31" s="222"/>
      <c r="AB31" s="222"/>
    </row>
    <row r="32" spans="1:28" x14ac:dyDescent="0.2">
      <c r="A32" s="608">
        <v>5</v>
      </c>
      <c r="B32" s="617" t="s">
        <v>128</v>
      </c>
      <c r="C32" s="617"/>
      <c r="D32" s="624">
        <f>Assumptions!D65</f>
        <v>353.58800000000002</v>
      </c>
      <c r="E32" s="617">
        <v>3</v>
      </c>
      <c r="F32" s="326">
        <v>1</v>
      </c>
      <c r="G32" s="428">
        <v>44840</v>
      </c>
      <c r="H32" s="331">
        <v>-29.35866</v>
      </c>
      <c r="I32" s="331">
        <v>29.9974281</v>
      </c>
      <c r="J32" s="423">
        <v>30</v>
      </c>
      <c r="K32" s="422">
        <v>4.5999999999999996</v>
      </c>
      <c r="L32" s="420">
        <v>1.3</v>
      </c>
      <c r="M32" s="449">
        <v>1.3</v>
      </c>
      <c r="N32" s="335">
        <f t="shared" ref="N32:N54" si="3">K32*L32*J32*(1-M32%)*0.1</f>
        <v>17.706779999999998</v>
      </c>
      <c r="O32" s="217"/>
      <c r="Q32" s="216"/>
      <c r="R32" s="218"/>
      <c r="S32" s="218"/>
      <c r="T32" s="218"/>
      <c r="X32" s="219"/>
      <c r="Y32" s="226"/>
      <c r="Z32" s="227"/>
    </row>
    <row r="33" spans="1:28" x14ac:dyDescent="0.2">
      <c r="A33" s="609"/>
      <c r="B33" s="612"/>
      <c r="C33" s="612"/>
      <c r="D33" s="625"/>
      <c r="E33" s="612"/>
      <c r="F33" s="327">
        <v>2</v>
      </c>
      <c r="G33" s="336">
        <v>44840</v>
      </c>
      <c r="H33" s="337">
        <v>-29.344850000000001</v>
      </c>
      <c r="I33" s="337">
        <v>30.003532</v>
      </c>
      <c r="J33" s="38">
        <v>45</v>
      </c>
      <c r="K33" s="40">
        <v>19.899999999999999</v>
      </c>
      <c r="L33" s="11">
        <v>1.3</v>
      </c>
      <c r="M33" s="356">
        <v>16.8</v>
      </c>
      <c r="N33" s="339">
        <f t="shared" si="3"/>
        <v>96.857279999999989</v>
      </c>
      <c r="O33" s="223"/>
      <c r="Q33" s="216"/>
      <c r="R33" s="216"/>
      <c r="S33" s="216"/>
      <c r="T33" s="216"/>
      <c r="X33" s="219"/>
      <c r="Y33" s="220"/>
    </row>
    <row r="34" spans="1:28" ht="16" thickBot="1" x14ac:dyDescent="0.25">
      <c r="A34" s="610"/>
      <c r="B34" s="613"/>
      <c r="C34" s="613"/>
      <c r="D34" s="636"/>
      <c r="E34" s="613"/>
      <c r="F34" s="328">
        <v>3</v>
      </c>
      <c r="G34" s="450">
        <v>44840</v>
      </c>
      <c r="H34" s="341">
        <v>-29.35285</v>
      </c>
      <c r="I34" s="341">
        <v>30.004332000000002</v>
      </c>
      <c r="J34" s="427">
        <v>40</v>
      </c>
      <c r="K34" s="426">
        <v>7.9</v>
      </c>
      <c r="L34" s="421">
        <v>1.3</v>
      </c>
      <c r="M34" s="451">
        <v>17.8</v>
      </c>
      <c r="N34" s="345">
        <f t="shared" si="3"/>
        <v>33.767760000000003</v>
      </c>
      <c r="O34" s="223"/>
      <c r="Q34" s="216"/>
      <c r="R34" s="216"/>
      <c r="S34" s="216"/>
      <c r="T34" s="216"/>
      <c r="Y34" s="220"/>
    </row>
    <row r="35" spans="1:28" x14ac:dyDescent="0.2">
      <c r="A35" s="608">
        <v>6</v>
      </c>
      <c r="B35" s="611" t="s">
        <v>126</v>
      </c>
      <c r="C35" s="611"/>
      <c r="D35" s="624">
        <f>Assumptions!D66</f>
        <v>4915.7929999999997</v>
      </c>
      <c r="E35" s="617">
        <v>6</v>
      </c>
      <c r="F35" s="326">
        <v>1</v>
      </c>
      <c r="G35" s="428">
        <v>44833</v>
      </c>
      <c r="H35" s="368">
        <v>-31.75564</v>
      </c>
      <c r="I35" s="369">
        <v>24.731349999999999</v>
      </c>
      <c r="J35" s="365">
        <v>30</v>
      </c>
      <c r="K35" s="365">
        <v>5.7</v>
      </c>
      <c r="L35" s="332">
        <v>1.4</v>
      </c>
      <c r="M35" s="334">
        <v>1.9</v>
      </c>
      <c r="N35" s="335">
        <f t="shared" si="3"/>
        <v>23.485140000000001</v>
      </c>
      <c r="O35" s="217"/>
      <c r="Q35" s="216"/>
      <c r="R35" s="218"/>
      <c r="S35" s="218"/>
      <c r="T35" s="218"/>
      <c r="Y35" s="228"/>
      <c r="Z35" s="127"/>
      <c r="AA35" s="127"/>
      <c r="AB35" s="229"/>
    </row>
    <row r="36" spans="1:28" x14ac:dyDescent="0.2">
      <c r="A36" s="609"/>
      <c r="B36" s="612"/>
      <c r="C36" s="612"/>
      <c r="D36" s="625"/>
      <c r="E36" s="618"/>
      <c r="F36" s="327">
        <v>2</v>
      </c>
      <c r="G36" s="336">
        <v>44833</v>
      </c>
      <c r="H36" s="370">
        <v>-31.787700000000001</v>
      </c>
      <c r="I36" s="371">
        <v>24.718240000000002</v>
      </c>
      <c r="J36" s="355">
        <v>30</v>
      </c>
      <c r="K36" s="355">
        <v>3.5</v>
      </c>
      <c r="L36" s="338">
        <v>1.5</v>
      </c>
      <c r="M36" s="88">
        <v>1.2</v>
      </c>
      <c r="N36" s="339">
        <f t="shared" si="3"/>
        <v>15.561</v>
      </c>
      <c r="O36" s="223"/>
      <c r="Q36" s="216"/>
      <c r="R36" s="216"/>
      <c r="S36" s="216"/>
      <c r="T36" s="216"/>
      <c r="Y36" s="230"/>
      <c r="Z36" s="230"/>
      <c r="AA36" s="231"/>
      <c r="AB36" s="232"/>
    </row>
    <row r="37" spans="1:28" x14ac:dyDescent="0.2">
      <c r="A37" s="609"/>
      <c r="B37" s="612"/>
      <c r="C37" s="612"/>
      <c r="D37" s="625"/>
      <c r="E37" s="618"/>
      <c r="F37" s="327">
        <v>3</v>
      </c>
      <c r="G37" s="336">
        <v>44833</v>
      </c>
      <c r="H37" s="370">
        <v>-31.797920000000001</v>
      </c>
      <c r="I37" s="371">
        <v>24.72608</v>
      </c>
      <c r="J37" s="355">
        <v>30</v>
      </c>
      <c r="K37" s="355">
        <v>6.7</v>
      </c>
      <c r="L37" s="338">
        <v>1.4</v>
      </c>
      <c r="M37" s="88">
        <v>2.5</v>
      </c>
      <c r="N37" s="339">
        <f t="shared" si="3"/>
        <v>27.436499999999995</v>
      </c>
      <c r="O37" s="223"/>
      <c r="Q37" s="216"/>
      <c r="R37" s="216"/>
      <c r="S37" s="216"/>
      <c r="T37" s="216"/>
      <c r="Y37" s="230"/>
      <c r="Z37" s="230"/>
      <c r="AA37" s="231"/>
      <c r="AB37" s="232"/>
    </row>
    <row r="38" spans="1:28" x14ac:dyDescent="0.2">
      <c r="A38" s="609"/>
      <c r="B38" s="612"/>
      <c r="C38" s="612"/>
      <c r="D38" s="625"/>
      <c r="E38" s="618"/>
      <c r="F38" s="327">
        <v>4</v>
      </c>
      <c r="G38" s="336">
        <v>44833</v>
      </c>
      <c r="H38" s="370">
        <v>-31.768350000000002</v>
      </c>
      <c r="I38" s="371">
        <v>24.730219999999999</v>
      </c>
      <c r="J38" s="40">
        <v>70</v>
      </c>
      <c r="K38" s="40">
        <v>11.9</v>
      </c>
      <c r="L38" s="38">
        <v>0.9</v>
      </c>
      <c r="M38" s="356">
        <v>0</v>
      </c>
      <c r="N38" s="339">
        <f t="shared" si="3"/>
        <v>74.970000000000013</v>
      </c>
      <c r="O38" s="223"/>
      <c r="Q38" s="216"/>
      <c r="R38" s="216"/>
      <c r="S38" s="216"/>
      <c r="T38" s="216"/>
      <c r="Y38" s="230"/>
      <c r="Z38" s="230"/>
      <c r="AA38" s="231"/>
      <c r="AB38" s="232"/>
    </row>
    <row r="39" spans="1:28" x14ac:dyDescent="0.2">
      <c r="A39" s="609"/>
      <c r="B39" s="612"/>
      <c r="C39" s="612"/>
      <c r="D39" s="625"/>
      <c r="E39" s="618"/>
      <c r="F39" s="327">
        <v>5</v>
      </c>
      <c r="G39" s="336">
        <v>44833</v>
      </c>
      <c r="H39" s="370">
        <v>-31.763639999999999</v>
      </c>
      <c r="I39" s="371">
        <v>24.739350000000002</v>
      </c>
      <c r="J39" s="40">
        <v>30</v>
      </c>
      <c r="K39" s="40">
        <v>4.3</v>
      </c>
      <c r="L39" s="38">
        <v>1.5</v>
      </c>
      <c r="M39" s="356">
        <v>2</v>
      </c>
      <c r="N39" s="339">
        <f t="shared" si="3"/>
        <v>18.962999999999997</v>
      </c>
      <c r="O39" s="223"/>
      <c r="Q39" s="216"/>
      <c r="R39" s="216"/>
      <c r="S39" s="216"/>
      <c r="T39" s="216"/>
      <c r="Y39" s="230"/>
      <c r="Z39" s="230"/>
      <c r="AA39" s="231"/>
      <c r="AB39" s="232"/>
    </row>
    <row r="40" spans="1:28" ht="16" thickBot="1" x14ac:dyDescent="0.25">
      <c r="A40" s="610"/>
      <c r="B40" s="613"/>
      <c r="C40" s="613"/>
      <c r="D40" s="636"/>
      <c r="E40" s="619"/>
      <c r="F40" s="328">
        <v>6</v>
      </c>
      <c r="G40" s="362">
        <v>44833</v>
      </c>
      <c r="H40" s="372">
        <v>-31.80592</v>
      </c>
      <c r="I40" s="373">
        <v>24.734079999999999</v>
      </c>
      <c r="J40" s="40">
        <v>30</v>
      </c>
      <c r="K40" s="40">
        <v>2</v>
      </c>
      <c r="L40" s="38">
        <v>1.4</v>
      </c>
      <c r="M40" s="356">
        <v>1.7</v>
      </c>
      <c r="N40" s="345">
        <f t="shared" si="3"/>
        <v>8.257200000000001</v>
      </c>
      <c r="O40" s="223"/>
      <c r="Q40" s="216"/>
      <c r="R40" s="216"/>
      <c r="S40" s="216"/>
      <c r="T40" s="216"/>
      <c r="Y40" s="230"/>
      <c r="Z40" s="230"/>
      <c r="AA40" s="231"/>
      <c r="AB40" s="232"/>
    </row>
    <row r="41" spans="1:28" ht="16" thickBot="1" x14ac:dyDescent="0.25">
      <c r="A41" s="608">
        <v>7</v>
      </c>
      <c r="B41" s="617" t="s">
        <v>129</v>
      </c>
      <c r="C41" s="617"/>
      <c r="D41" s="624">
        <f>Assumptions!D67</f>
        <v>2549.9479999999994</v>
      </c>
      <c r="E41" s="617">
        <v>3</v>
      </c>
      <c r="F41" s="326">
        <v>1</v>
      </c>
      <c r="G41" s="330">
        <v>44893</v>
      </c>
      <c r="H41" s="331">
        <v>-30.00169</v>
      </c>
      <c r="I41" s="331">
        <v>29.21332</v>
      </c>
      <c r="J41" s="333">
        <v>30</v>
      </c>
      <c r="K41" s="374">
        <v>22.7</v>
      </c>
      <c r="L41" s="333">
        <v>1</v>
      </c>
      <c r="M41" s="334">
        <v>74.099999999999994</v>
      </c>
      <c r="N41" s="335">
        <f t="shared" si="3"/>
        <v>17.637900000000002</v>
      </c>
      <c r="O41" s="217"/>
      <c r="Q41" s="216"/>
      <c r="R41" s="218"/>
      <c r="S41" s="218"/>
      <c r="T41" s="218"/>
    </row>
    <row r="42" spans="1:28" ht="16" thickBot="1" x14ac:dyDescent="0.25">
      <c r="A42" s="609"/>
      <c r="B42" s="618"/>
      <c r="C42" s="618"/>
      <c r="D42" s="625"/>
      <c r="E42" s="618"/>
      <c r="F42" s="327">
        <v>2</v>
      </c>
      <c r="G42" s="330">
        <v>44893</v>
      </c>
      <c r="H42" s="337">
        <v>-30.0017</v>
      </c>
      <c r="I42" s="337">
        <v>29.212900000000001</v>
      </c>
      <c r="J42" s="45">
        <v>30</v>
      </c>
      <c r="K42" s="375">
        <v>42.3</v>
      </c>
      <c r="L42" s="45">
        <v>0.9</v>
      </c>
      <c r="M42" s="88">
        <v>60</v>
      </c>
      <c r="N42" s="339">
        <f t="shared" si="3"/>
        <v>45.683999999999997</v>
      </c>
      <c r="O42" s="223"/>
      <c r="Q42" s="216"/>
      <c r="R42" s="216"/>
      <c r="S42" s="216"/>
      <c r="T42" s="216"/>
    </row>
    <row r="43" spans="1:28" ht="16" thickBot="1" x14ac:dyDescent="0.25">
      <c r="A43" s="620"/>
      <c r="B43" s="627"/>
      <c r="C43" s="627"/>
      <c r="D43" s="626"/>
      <c r="E43" s="627"/>
      <c r="F43" s="376">
        <v>3</v>
      </c>
      <c r="G43" s="330">
        <v>44893</v>
      </c>
      <c r="H43" s="341">
        <v>-30.076809999999998</v>
      </c>
      <c r="I43" s="341">
        <v>29.211210000000001</v>
      </c>
      <c r="J43" s="377">
        <v>45</v>
      </c>
      <c r="K43" s="378">
        <v>42.5</v>
      </c>
      <c r="L43" s="379">
        <v>0.7</v>
      </c>
      <c r="M43" s="380">
        <v>0</v>
      </c>
      <c r="N43" s="381">
        <f t="shared" si="3"/>
        <v>133.87499999999997</v>
      </c>
      <c r="O43" s="223"/>
      <c r="Q43" s="216"/>
      <c r="R43" s="216"/>
      <c r="S43" s="216"/>
      <c r="T43" s="216"/>
    </row>
    <row r="44" spans="1:28" ht="16" thickBot="1" x14ac:dyDescent="0.25">
      <c r="A44" s="608">
        <v>8</v>
      </c>
      <c r="B44" s="617" t="s">
        <v>130</v>
      </c>
      <c r="C44" s="617"/>
      <c r="D44" s="624">
        <f>Assumptions!D68</f>
        <v>741.26900000000001</v>
      </c>
      <c r="E44" s="617">
        <v>3</v>
      </c>
      <c r="F44" s="382">
        <v>1</v>
      </c>
      <c r="G44" s="383">
        <v>44901</v>
      </c>
      <c r="H44" s="384">
        <v>-25.41197</v>
      </c>
      <c r="I44" s="384">
        <v>30.024653000000001</v>
      </c>
      <c r="J44" s="385">
        <v>30</v>
      </c>
      <c r="K44" s="374">
        <v>4.8</v>
      </c>
      <c r="L44" s="333">
        <v>1</v>
      </c>
      <c r="M44" s="334">
        <v>0</v>
      </c>
      <c r="N44" s="335">
        <f t="shared" si="3"/>
        <v>14.4</v>
      </c>
      <c r="O44" s="217"/>
      <c r="Q44" s="216"/>
      <c r="R44" s="218"/>
      <c r="S44" s="218"/>
      <c r="T44" s="218"/>
    </row>
    <row r="45" spans="1:28" ht="16" thickBot="1" x14ac:dyDescent="0.25">
      <c r="A45" s="609"/>
      <c r="B45" s="618"/>
      <c r="C45" s="618"/>
      <c r="D45" s="625"/>
      <c r="E45" s="618"/>
      <c r="F45" s="386">
        <v>2</v>
      </c>
      <c r="G45" s="383">
        <v>44901</v>
      </c>
      <c r="H45" s="387">
        <v>-25.439489999999999</v>
      </c>
      <c r="I45" s="387">
        <v>30.011977999999999</v>
      </c>
      <c r="J45" s="388">
        <v>30</v>
      </c>
      <c r="K45" s="375">
        <v>8.4</v>
      </c>
      <c r="L45" s="45">
        <v>1</v>
      </c>
      <c r="M45" s="88">
        <v>0</v>
      </c>
      <c r="N45" s="339">
        <f t="shared" si="3"/>
        <v>25.200000000000003</v>
      </c>
      <c r="O45" s="223"/>
      <c r="Q45" s="216"/>
      <c r="R45" s="216"/>
      <c r="S45" s="216"/>
      <c r="T45" s="216"/>
    </row>
    <row r="46" spans="1:28" ht="16" thickBot="1" x14ac:dyDescent="0.25">
      <c r="A46" s="610"/>
      <c r="B46" s="619"/>
      <c r="C46" s="619"/>
      <c r="D46" s="636"/>
      <c r="E46" s="619"/>
      <c r="F46" s="389">
        <v>3</v>
      </c>
      <c r="G46" s="383">
        <v>44901</v>
      </c>
      <c r="H46" s="387">
        <v>-25.440290000000001</v>
      </c>
      <c r="I46" s="387">
        <v>30.01277</v>
      </c>
      <c r="J46" s="390">
        <v>40</v>
      </c>
      <c r="K46" s="390">
        <v>16.2</v>
      </c>
      <c r="L46" s="390">
        <v>1</v>
      </c>
      <c r="M46" s="356">
        <v>0</v>
      </c>
      <c r="N46" s="345">
        <f t="shared" si="3"/>
        <v>64.8</v>
      </c>
      <c r="O46" s="223"/>
      <c r="Q46" s="216"/>
      <c r="R46" s="216"/>
      <c r="S46" s="216"/>
      <c r="T46" s="216"/>
    </row>
    <row r="47" spans="1:28" ht="15" customHeight="1" x14ac:dyDescent="0.2">
      <c r="A47" s="637">
        <v>9</v>
      </c>
      <c r="B47" s="640" t="s">
        <v>131</v>
      </c>
      <c r="C47" s="640"/>
      <c r="D47" s="643">
        <f>Assumptions!D69</f>
        <v>8643.7000000000025</v>
      </c>
      <c r="E47" s="640">
        <v>9</v>
      </c>
      <c r="F47" s="391">
        <v>1</v>
      </c>
      <c r="G47" s="440">
        <v>44832</v>
      </c>
      <c r="H47" s="384">
        <v>-32.08343</v>
      </c>
      <c r="I47" s="384">
        <v>24.59158</v>
      </c>
      <c r="J47" s="385">
        <v>30</v>
      </c>
      <c r="K47" s="393">
        <f>(4+2.4+4)/3</f>
        <v>3.4666666666666668</v>
      </c>
      <c r="L47" s="394">
        <f>(1.59+1.54+1.51)/3</f>
        <v>1.5466666666666666</v>
      </c>
      <c r="M47" s="395">
        <f>(1.01+1.14+1.05)/3</f>
        <v>1.0666666666666667</v>
      </c>
      <c r="N47" s="335">
        <f t="shared" si="3"/>
        <v>15.913756444444445</v>
      </c>
      <c r="O47" s="217"/>
      <c r="Q47" s="216"/>
      <c r="R47" s="218"/>
      <c r="S47" s="218"/>
      <c r="T47" s="218"/>
    </row>
    <row r="48" spans="1:28" x14ac:dyDescent="0.2">
      <c r="A48" s="638"/>
      <c r="B48" s="641"/>
      <c r="C48" s="641"/>
      <c r="D48" s="644"/>
      <c r="E48" s="641"/>
      <c r="F48" s="351">
        <v>2</v>
      </c>
      <c r="G48" s="402">
        <v>44832</v>
      </c>
      <c r="H48" s="387">
        <v>-32.094430000000003</v>
      </c>
      <c r="I48" s="387">
        <v>24.59958</v>
      </c>
      <c r="J48" s="390">
        <v>30</v>
      </c>
      <c r="K48" s="40">
        <v>4.7</v>
      </c>
      <c r="L48" s="38">
        <v>1.4</v>
      </c>
      <c r="M48" s="356">
        <v>1.4</v>
      </c>
      <c r="N48" s="339">
        <f t="shared" si="3"/>
        <v>19.463640000000002</v>
      </c>
      <c r="O48" s="223"/>
      <c r="Q48" s="216"/>
      <c r="R48" s="216"/>
      <c r="S48" s="216"/>
      <c r="T48" s="216"/>
    </row>
    <row r="49" spans="1:21" x14ac:dyDescent="0.2">
      <c r="A49" s="638"/>
      <c r="B49" s="641"/>
      <c r="C49" s="641"/>
      <c r="D49" s="644"/>
      <c r="E49" s="641"/>
      <c r="F49" s="351">
        <v>3</v>
      </c>
      <c r="G49" s="402">
        <v>44832</v>
      </c>
      <c r="H49" s="387">
        <v>-32.10239</v>
      </c>
      <c r="I49" s="387">
        <v>24.623670000000001</v>
      </c>
      <c r="J49" s="388">
        <v>30</v>
      </c>
      <c r="K49" s="355">
        <v>4.9000000000000004</v>
      </c>
      <c r="L49" s="338">
        <v>1.3</v>
      </c>
      <c r="M49" s="88">
        <v>12</v>
      </c>
      <c r="N49" s="339">
        <f t="shared" si="3"/>
        <v>16.816800000000004</v>
      </c>
      <c r="O49" s="223"/>
      <c r="Q49" s="216"/>
      <c r="R49" s="216"/>
      <c r="S49" s="216"/>
      <c r="T49" s="216"/>
    </row>
    <row r="50" spans="1:21" x14ac:dyDescent="0.2">
      <c r="A50" s="638"/>
      <c r="B50" s="641"/>
      <c r="C50" s="641"/>
      <c r="D50" s="644"/>
      <c r="E50" s="641"/>
      <c r="F50" s="351">
        <v>4</v>
      </c>
      <c r="G50" s="402">
        <v>44832</v>
      </c>
      <c r="H50" s="387">
        <v>-32.086860000000001</v>
      </c>
      <c r="I50" s="387">
        <v>24.61383</v>
      </c>
      <c r="J50" s="388">
        <v>30</v>
      </c>
      <c r="K50" s="355">
        <v>5.2</v>
      </c>
      <c r="L50" s="338">
        <v>1.3</v>
      </c>
      <c r="M50" s="88">
        <v>0</v>
      </c>
      <c r="N50" s="339">
        <f t="shared" si="3"/>
        <v>20.28</v>
      </c>
      <c r="O50" s="223"/>
      <c r="Q50" s="216"/>
      <c r="R50" s="216"/>
      <c r="S50" s="216"/>
      <c r="T50" s="216"/>
    </row>
    <row r="51" spans="1:21" x14ac:dyDescent="0.2">
      <c r="A51" s="638"/>
      <c r="B51" s="641"/>
      <c r="C51" s="641"/>
      <c r="D51" s="644"/>
      <c r="E51" s="641"/>
      <c r="F51" s="351">
        <v>5</v>
      </c>
      <c r="G51" s="402">
        <v>44832</v>
      </c>
      <c r="H51" s="387">
        <v>-32.10239</v>
      </c>
      <c r="I51" s="387">
        <v>24.623670000000001</v>
      </c>
      <c r="J51" s="390">
        <v>30</v>
      </c>
      <c r="K51" s="40">
        <v>5.5</v>
      </c>
      <c r="L51" s="38">
        <v>1.3</v>
      </c>
      <c r="M51" s="356">
        <v>0</v>
      </c>
      <c r="N51" s="339">
        <f t="shared" si="3"/>
        <v>21.450000000000003</v>
      </c>
      <c r="O51" s="223"/>
      <c r="Q51" s="216"/>
      <c r="R51" s="216"/>
      <c r="S51" s="216"/>
      <c r="T51" s="216"/>
    </row>
    <row r="52" spans="1:21" x14ac:dyDescent="0.2">
      <c r="A52" s="638"/>
      <c r="B52" s="641"/>
      <c r="C52" s="641"/>
      <c r="D52" s="644"/>
      <c r="E52" s="641"/>
      <c r="F52" s="351">
        <v>6</v>
      </c>
      <c r="G52" s="402">
        <v>44832</v>
      </c>
      <c r="H52" s="387">
        <v>-32.062019999999997</v>
      </c>
      <c r="I52" s="387">
        <v>24.653099999999998</v>
      </c>
      <c r="J52" s="388">
        <v>30</v>
      </c>
      <c r="K52" s="355">
        <v>7.6</v>
      </c>
      <c r="L52" s="338">
        <v>1.3</v>
      </c>
      <c r="M52" s="88">
        <v>0</v>
      </c>
      <c r="N52" s="339">
        <f t="shared" si="3"/>
        <v>29.64</v>
      </c>
      <c r="O52" s="223"/>
      <c r="Q52" s="216"/>
      <c r="R52" s="216"/>
      <c r="S52" s="216"/>
      <c r="T52" s="216"/>
    </row>
    <row r="53" spans="1:21" x14ac:dyDescent="0.2">
      <c r="A53" s="638"/>
      <c r="B53" s="641"/>
      <c r="C53" s="641"/>
      <c r="D53" s="644"/>
      <c r="E53" s="641"/>
      <c r="F53" s="351">
        <v>7</v>
      </c>
      <c r="G53" s="402">
        <v>44832</v>
      </c>
      <c r="H53" s="387">
        <v>-32.040959999999998</v>
      </c>
      <c r="I53" s="387">
        <v>24.744620000000001</v>
      </c>
      <c r="J53" s="388">
        <v>60</v>
      </c>
      <c r="K53" s="355">
        <v>25</v>
      </c>
      <c r="L53" s="338">
        <v>1.3</v>
      </c>
      <c r="M53" s="88">
        <v>13.3</v>
      </c>
      <c r="N53" s="339">
        <f t="shared" si="3"/>
        <v>169.06500000000003</v>
      </c>
      <c r="O53" s="223"/>
      <c r="Q53" s="216"/>
      <c r="R53" s="216"/>
      <c r="S53" s="216"/>
      <c r="T53" s="216"/>
    </row>
    <row r="54" spans="1:21" x14ac:dyDescent="0.2">
      <c r="A54" s="638"/>
      <c r="B54" s="641"/>
      <c r="C54" s="641"/>
      <c r="D54" s="644"/>
      <c r="E54" s="641"/>
      <c r="F54" s="351">
        <v>8</v>
      </c>
      <c r="G54" s="402">
        <v>44832</v>
      </c>
      <c r="H54" s="387">
        <v>-32.122030000000002</v>
      </c>
      <c r="I54" s="387">
        <v>24.608830000000001</v>
      </c>
      <c r="J54" s="388">
        <v>30</v>
      </c>
      <c r="K54" s="355">
        <v>9.1</v>
      </c>
      <c r="L54" s="338">
        <v>1.3</v>
      </c>
      <c r="M54" s="88">
        <v>27.9</v>
      </c>
      <c r="N54" s="339">
        <f t="shared" si="3"/>
        <v>25.588290000000001</v>
      </c>
      <c r="O54" s="223"/>
      <c r="Q54" s="216"/>
      <c r="R54" s="216"/>
      <c r="S54" s="216"/>
      <c r="T54" s="216"/>
    </row>
    <row r="55" spans="1:21" ht="16" thickBot="1" x14ac:dyDescent="0.25">
      <c r="A55" s="639"/>
      <c r="B55" s="642"/>
      <c r="C55" s="642"/>
      <c r="D55" s="645"/>
      <c r="E55" s="642"/>
      <c r="F55" s="357">
        <v>9</v>
      </c>
      <c r="G55" s="346">
        <v>44832</v>
      </c>
      <c r="H55" s="396">
        <v>-32.094209999999997</v>
      </c>
      <c r="I55" s="396">
        <v>24.634029999999999</v>
      </c>
      <c r="J55" s="397">
        <v>40</v>
      </c>
      <c r="K55" s="360">
        <v>11.4</v>
      </c>
      <c r="L55" s="342">
        <v>1.4</v>
      </c>
      <c r="M55" s="344">
        <v>15.2</v>
      </c>
      <c r="N55" s="345">
        <f>K55*L55*J55*(1-M55%)*0.1</f>
        <v>54.136320000000005</v>
      </c>
      <c r="O55" s="223"/>
      <c r="Q55" s="216"/>
      <c r="R55" s="216"/>
      <c r="S55" s="216"/>
      <c r="T55" s="216"/>
      <c r="U55"/>
    </row>
    <row r="56" spans="1:21" ht="16" thickBot="1" x14ac:dyDescent="0.25">
      <c r="A56" s="608">
        <v>10</v>
      </c>
      <c r="B56" s="617" t="s">
        <v>131</v>
      </c>
      <c r="C56" s="617"/>
      <c r="D56" s="624">
        <f>Assumptions!D70</f>
        <v>2860.4270000000001</v>
      </c>
      <c r="E56" s="617">
        <v>3</v>
      </c>
      <c r="F56" s="382">
        <v>1</v>
      </c>
      <c r="G56" s="438">
        <v>44833</v>
      </c>
      <c r="H56" s="384">
        <v>-31.93882</v>
      </c>
      <c r="I56" s="384">
        <v>24.502400000000002</v>
      </c>
      <c r="J56" s="390">
        <v>30</v>
      </c>
      <c r="K56" s="40">
        <v>2.8</v>
      </c>
      <c r="L56" s="38">
        <v>1.5</v>
      </c>
      <c r="M56" s="356">
        <v>6.3</v>
      </c>
      <c r="N56" s="335">
        <f>K56*L56*J56*(1-M56%)*0.1</f>
        <v>11.806199999999999</v>
      </c>
      <c r="O56" s="217"/>
      <c r="P56"/>
      <c r="Q56" s="216"/>
      <c r="R56" s="218"/>
      <c r="S56" s="218"/>
      <c r="T56" s="218"/>
      <c r="U56"/>
    </row>
    <row r="57" spans="1:21" x14ac:dyDescent="0.2">
      <c r="A57" s="609"/>
      <c r="B57" s="618"/>
      <c r="C57" s="618"/>
      <c r="D57" s="625"/>
      <c r="E57" s="618"/>
      <c r="F57" s="386">
        <v>2</v>
      </c>
      <c r="G57" s="336">
        <v>44833</v>
      </c>
      <c r="H57" s="384">
        <v>-31.946819999999999</v>
      </c>
      <c r="I57" s="384">
        <v>24.5824</v>
      </c>
      <c r="J57" s="390">
        <v>30</v>
      </c>
      <c r="K57" s="40">
        <v>4.7</v>
      </c>
      <c r="L57" s="38">
        <v>1.5</v>
      </c>
      <c r="M57" s="356">
        <v>12.7</v>
      </c>
      <c r="N57" s="339">
        <f t="shared" ref="N57:N58" si="4">K57*L57*J57*(1-M57%)*0.1</f>
        <v>18.463950000000004</v>
      </c>
      <c r="O57" s="223"/>
      <c r="P57"/>
      <c r="Q57" s="216"/>
      <c r="R57" s="216"/>
      <c r="S57" s="216"/>
      <c r="T57" s="216"/>
      <c r="U57"/>
    </row>
    <row r="58" spans="1:21" ht="16" thickBot="1" x14ac:dyDescent="0.25">
      <c r="A58" s="610"/>
      <c r="B58" s="619"/>
      <c r="C58" s="619"/>
      <c r="D58" s="636"/>
      <c r="E58" s="619"/>
      <c r="F58" s="389">
        <v>3</v>
      </c>
      <c r="G58" s="439">
        <v>44833</v>
      </c>
      <c r="H58" s="396">
        <v>-31.93291</v>
      </c>
      <c r="I58" s="396">
        <v>24.510090000000002</v>
      </c>
      <c r="J58" s="390">
        <v>30</v>
      </c>
      <c r="K58" s="40">
        <v>7.6</v>
      </c>
      <c r="L58" s="38">
        <v>1.3</v>
      </c>
      <c r="M58" s="356">
        <v>0</v>
      </c>
      <c r="N58" s="345">
        <f t="shared" si="4"/>
        <v>29.64</v>
      </c>
      <c r="O58" s="223"/>
      <c r="P58"/>
      <c r="Q58" s="216"/>
      <c r="R58" s="216"/>
      <c r="S58" s="216"/>
      <c r="T58" s="216"/>
      <c r="U58"/>
    </row>
    <row r="59" spans="1:21" ht="15" customHeight="1" x14ac:dyDescent="0.2">
      <c r="A59" s="637">
        <v>11</v>
      </c>
      <c r="B59" s="640" t="s">
        <v>131</v>
      </c>
      <c r="C59" s="640"/>
      <c r="D59" s="643">
        <f>Assumptions!D71</f>
        <v>9034.3230000000021</v>
      </c>
      <c r="E59" s="640">
        <v>9</v>
      </c>
      <c r="F59" s="398">
        <v>1</v>
      </c>
      <c r="G59" s="437">
        <v>44830</v>
      </c>
      <c r="H59" s="384">
        <v>-32.68732</v>
      </c>
      <c r="I59" s="384">
        <v>24.801290000000002</v>
      </c>
      <c r="J59" s="333">
        <v>30</v>
      </c>
      <c r="K59" s="333">
        <v>2.2000000000000002</v>
      </c>
      <c r="L59" s="333">
        <v>1.5</v>
      </c>
      <c r="M59" s="334">
        <v>9.9</v>
      </c>
      <c r="N59" s="335">
        <f t="shared" ref="N59:N94" si="5">K59*L59*J59*(1-M59%)*0.1</f>
        <v>8.9199000000000019</v>
      </c>
      <c r="O59" s="217"/>
      <c r="P59"/>
      <c r="Q59" s="216"/>
      <c r="R59" s="218"/>
      <c r="S59" s="218"/>
      <c r="T59" s="218"/>
      <c r="U59"/>
    </row>
    <row r="60" spans="1:21" x14ac:dyDescent="0.2">
      <c r="A60" s="638"/>
      <c r="B60" s="641"/>
      <c r="C60" s="641"/>
      <c r="D60" s="644"/>
      <c r="E60" s="641"/>
      <c r="F60" s="399">
        <v>2</v>
      </c>
      <c r="G60" s="402">
        <v>44830</v>
      </c>
      <c r="H60" s="387">
        <v>-32.628230000000002</v>
      </c>
      <c r="I60" s="387">
        <v>24.726099999999999</v>
      </c>
      <c r="J60" s="45">
        <v>30</v>
      </c>
      <c r="K60" s="400">
        <f>(2.1+2.3+2.6)/3</f>
        <v>2.3333333333333335</v>
      </c>
      <c r="L60" s="400">
        <f>(1.45+1.39+1.42)/3</f>
        <v>1.42</v>
      </c>
      <c r="M60" s="401">
        <f>(1.06+1.02+0.99)/3</f>
        <v>1.0233333333333334</v>
      </c>
      <c r="N60" s="339">
        <f t="shared" si="5"/>
        <v>9.8382806666666678</v>
      </c>
      <c r="O60" s="223"/>
      <c r="P60"/>
      <c r="Q60" s="216"/>
      <c r="R60" s="216"/>
      <c r="S60" s="216"/>
      <c r="T60" s="216"/>
      <c r="U60"/>
    </row>
    <row r="61" spans="1:21" x14ac:dyDescent="0.2">
      <c r="A61" s="638"/>
      <c r="B61" s="641"/>
      <c r="C61" s="641"/>
      <c r="D61" s="644"/>
      <c r="E61" s="641"/>
      <c r="F61" s="399">
        <v>3</v>
      </c>
      <c r="G61" s="402">
        <v>44831</v>
      </c>
      <c r="H61" s="387">
        <v>-32.559550000000002</v>
      </c>
      <c r="I61" s="387">
        <v>24.657</v>
      </c>
      <c r="J61" s="45">
        <v>30</v>
      </c>
      <c r="K61" s="45">
        <v>2.6</v>
      </c>
      <c r="L61" s="45">
        <v>1.4</v>
      </c>
      <c r="M61" s="88">
        <v>4.5</v>
      </c>
      <c r="N61" s="339">
        <f t="shared" si="5"/>
        <v>10.428599999999999</v>
      </c>
      <c r="O61" s="223"/>
      <c r="P61"/>
      <c r="Q61" s="216"/>
      <c r="R61" s="216"/>
      <c r="S61" s="216"/>
      <c r="T61" s="216"/>
      <c r="U61"/>
    </row>
    <row r="62" spans="1:21" x14ac:dyDescent="0.2">
      <c r="A62" s="638"/>
      <c r="B62" s="641"/>
      <c r="C62" s="641"/>
      <c r="D62" s="644"/>
      <c r="E62" s="641"/>
      <c r="F62" s="399">
        <v>4</v>
      </c>
      <c r="G62" s="402">
        <v>44831</v>
      </c>
      <c r="H62" s="387">
        <v>-32.687060000000002</v>
      </c>
      <c r="I62" s="387">
        <v>24.821960000000001</v>
      </c>
      <c r="J62" s="45">
        <v>30</v>
      </c>
      <c r="K62" s="45">
        <v>7.5</v>
      </c>
      <c r="L62" s="45">
        <v>1.5</v>
      </c>
      <c r="M62" s="88">
        <v>0</v>
      </c>
      <c r="N62" s="339">
        <f t="shared" si="5"/>
        <v>33.75</v>
      </c>
      <c r="O62" s="223"/>
      <c r="P62"/>
      <c r="Q62" s="216"/>
      <c r="R62" s="216"/>
      <c r="S62" s="216"/>
      <c r="T62" s="216"/>
      <c r="U62"/>
    </row>
    <row r="63" spans="1:21" x14ac:dyDescent="0.2">
      <c r="A63" s="638"/>
      <c r="B63" s="641"/>
      <c r="C63" s="641"/>
      <c r="D63" s="644"/>
      <c r="E63" s="641"/>
      <c r="F63" s="399">
        <v>5</v>
      </c>
      <c r="G63" s="402">
        <v>44831</v>
      </c>
      <c r="H63" s="387">
        <v>-32.565399999999997</v>
      </c>
      <c r="I63" s="387">
        <v>24.650359999999999</v>
      </c>
      <c r="J63" s="45">
        <v>30</v>
      </c>
      <c r="K63" s="45">
        <v>4.9000000000000004</v>
      </c>
      <c r="L63" s="45">
        <v>1.5</v>
      </c>
      <c r="M63" s="88">
        <v>47.2</v>
      </c>
      <c r="N63" s="339">
        <f t="shared" si="5"/>
        <v>11.642400000000002</v>
      </c>
      <c r="O63" s="223"/>
      <c r="P63"/>
      <c r="Q63" s="216"/>
      <c r="R63" s="216"/>
      <c r="S63" s="216"/>
      <c r="T63" s="216"/>
      <c r="U63"/>
    </row>
    <row r="64" spans="1:21" x14ac:dyDescent="0.2">
      <c r="A64" s="638"/>
      <c r="B64" s="641"/>
      <c r="C64" s="641"/>
      <c r="D64" s="644"/>
      <c r="E64" s="641"/>
      <c r="F64" s="399">
        <v>6</v>
      </c>
      <c r="G64" s="402">
        <v>44831</v>
      </c>
      <c r="H64" s="387">
        <v>-32.661769999999997</v>
      </c>
      <c r="I64" s="387">
        <v>24.796790000000001</v>
      </c>
      <c r="J64" s="45">
        <v>30</v>
      </c>
      <c r="K64" s="45">
        <v>3</v>
      </c>
      <c r="L64" s="45">
        <v>1.5</v>
      </c>
      <c r="M64" s="88">
        <v>1.5</v>
      </c>
      <c r="N64" s="339">
        <f t="shared" si="5"/>
        <v>13.297499999999999</v>
      </c>
      <c r="O64" s="223"/>
      <c r="P64"/>
      <c r="Q64" s="216"/>
      <c r="R64" s="216"/>
      <c r="S64" s="216"/>
      <c r="T64" s="216"/>
    </row>
    <row r="65" spans="1:20" x14ac:dyDescent="0.2">
      <c r="A65" s="638"/>
      <c r="B65" s="641"/>
      <c r="C65" s="641"/>
      <c r="D65" s="644"/>
      <c r="E65" s="641"/>
      <c r="F65" s="399">
        <v>7</v>
      </c>
      <c r="G65" s="402">
        <v>44831</v>
      </c>
      <c r="H65" s="387">
        <v>-32.549720000000001</v>
      </c>
      <c r="I65" s="387">
        <v>24.660799999999998</v>
      </c>
      <c r="J65" s="45">
        <v>30</v>
      </c>
      <c r="K65" s="45">
        <v>3.6</v>
      </c>
      <c r="L65" s="45">
        <v>1.4</v>
      </c>
      <c r="M65" s="88">
        <v>3.4</v>
      </c>
      <c r="N65" s="339">
        <f t="shared" si="5"/>
        <v>14.605919999999998</v>
      </c>
      <c r="O65" s="223"/>
      <c r="P65"/>
      <c r="Q65" s="216"/>
      <c r="R65" s="216"/>
      <c r="S65" s="216"/>
      <c r="T65" s="216"/>
    </row>
    <row r="66" spans="1:20" x14ac:dyDescent="0.2">
      <c r="A66" s="638"/>
      <c r="B66" s="641"/>
      <c r="C66" s="641"/>
      <c r="D66" s="644"/>
      <c r="E66" s="641"/>
      <c r="F66" s="399">
        <v>8</v>
      </c>
      <c r="G66" s="402">
        <v>44909</v>
      </c>
      <c r="H66" s="387">
        <v>-32.596890000000002</v>
      </c>
      <c r="I66" s="387">
        <v>24.737760000000002</v>
      </c>
      <c r="J66" s="45">
        <v>30</v>
      </c>
      <c r="K66" s="45">
        <v>4.0999999999999996</v>
      </c>
      <c r="L66" s="45">
        <v>1.5</v>
      </c>
      <c r="M66" s="88">
        <v>46.6</v>
      </c>
      <c r="N66" s="339">
        <f t="shared" si="5"/>
        <v>9.8522999999999996</v>
      </c>
      <c r="O66" s="223"/>
      <c r="P66"/>
      <c r="Q66" s="216"/>
      <c r="R66" s="216"/>
      <c r="S66" s="216"/>
      <c r="T66" s="216"/>
    </row>
    <row r="67" spans="1:20" ht="16" thickBot="1" x14ac:dyDescent="0.25">
      <c r="A67" s="639"/>
      <c r="B67" s="642"/>
      <c r="C67" s="642"/>
      <c r="D67" s="645"/>
      <c r="E67" s="642"/>
      <c r="F67" s="403">
        <v>9</v>
      </c>
      <c r="G67" s="402">
        <v>44909</v>
      </c>
      <c r="H67" s="396">
        <v>-32.648580000000003</v>
      </c>
      <c r="I67" s="396">
        <v>24.780940000000001</v>
      </c>
      <c r="J67" s="343">
        <v>30</v>
      </c>
      <c r="K67" s="343">
        <v>7.9</v>
      </c>
      <c r="L67" s="343">
        <v>1.5</v>
      </c>
      <c r="M67" s="344">
        <v>0</v>
      </c>
      <c r="N67" s="345">
        <f t="shared" si="5"/>
        <v>35.550000000000004</v>
      </c>
      <c r="O67" s="223"/>
      <c r="P67"/>
      <c r="Q67" s="216"/>
      <c r="R67" s="216"/>
      <c r="S67" s="216"/>
      <c r="T67" s="216"/>
    </row>
    <row r="68" spans="1:20" x14ac:dyDescent="0.2">
      <c r="A68" s="608">
        <v>12</v>
      </c>
      <c r="B68" s="611" t="s">
        <v>132</v>
      </c>
      <c r="C68" s="611"/>
      <c r="D68" s="624">
        <f>Assumptions!D72</f>
        <v>2315.3180000000002</v>
      </c>
      <c r="E68" s="640">
        <v>3</v>
      </c>
      <c r="F68" s="326">
        <v>1</v>
      </c>
      <c r="G68" s="428">
        <v>44840</v>
      </c>
      <c r="H68" s="384" t="s">
        <v>697</v>
      </c>
      <c r="I68" s="384">
        <v>29.437315099999999</v>
      </c>
      <c r="J68" s="404">
        <v>30</v>
      </c>
      <c r="K68" s="405">
        <v>8.1</v>
      </c>
      <c r="L68" s="405">
        <v>1.3</v>
      </c>
      <c r="M68" s="406">
        <v>2.5</v>
      </c>
      <c r="N68" s="335">
        <f t="shared" si="5"/>
        <v>30.800250000000002</v>
      </c>
      <c r="O68" s="217"/>
      <c r="Q68" s="216"/>
      <c r="R68" s="218"/>
      <c r="S68" s="218"/>
      <c r="T68" s="218"/>
    </row>
    <row r="69" spans="1:20" ht="16" thickBot="1" x14ac:dyDescent="0.25">
      <c r="A69" s="609"/>
      <c r="B69" s="612"/>
      <c r="C69" s="612"/>
      <c r="D69" s="625"/>
      <c r="E69" s="641"/>
      <c r="F69" s="327">
        <v>2</v>
      </c>
      <c r="G69" s="336">
        <v>44840</v>
      </c>
      <c r="H69" s="387" t="s">
        <v>698</v>
      </c>
      <c r="I69" s="387">
        <v>29.4372607</v>
      </c>
      <c r="J69" s="407">
        <v>60</v>
      </c>
      <c r="K69" s="408">
        <v>7.6</v>
      </c>
      <c r="L69" s="408">
        <v>1.3</v>
      </c>
      <c r="M69" s="409">
        <v>2</v>
      </c>
      <c r="N69" s="339">
        <f t="shared" si="5"/>
        <v>58.0944</v>
      </c>
      <c r="O69" s="223"/>
      <c r="Q69" s="216"/>
      <c r="R69" s="216"/>
      <c r="S69" s="216"/>
      <c r="T69" s="216"/>
    </row>
    <row r="70" spans="1:20" ht="16" thickBot="1" x14ac:dyDescent="0.25">
      <c r="A70" s="610"/>
      <c r="B70" s="613"/>
      <c r="C70" s="613"/>
      <c r="D70" s="636"/>
      <c r="E70" s="642"/>
      <c r="F70" s="328">
        <v>3</v>
      </c>
      <c r="G70" s="362">
        <v>44840</v>
      </c>
      <c r="H70" s="384">
        <v>-28.276319999999998</v>
      </c>
      <c r="I70" s="384">
        <v>29.4373951</v>
      </c>
      <c r="J70" s="407">
        <v>30</v>
      </c>
      <c r="K70" s="408">
        <v>4.0999999999999996</v>
      </c>
      <c r="L70" s="408">
        <v>1</v>
      </c>
      <c r="M70" s="409">
        <v>3.5</v>
      </c>
      <c r="N70" s="345">
        <f t="shared" si="5"/>
        <v>11.869499999999999</v>
      </c>
      <c r="O70" s="223"/>
      <c r="Q70" s="216"/>
      <c r="R70" s="216"/>
      <c r="S70" s="216"/>
      <c r="T70" s="216"/>
    </row>
    <row r="71" spans="1:20" x14ac:dyDescent="0.2">
      <c r="A71" s="637">
        <v>13</v>
      </c>
      <c r="B71" s="640" t="s">
        <v>133</v>
      </c>
      <c r="C71" s="640"/>
      <c r="D71" s="643">
        <f>Assumptions!D73</f>
        <v>5717.201</v>
      </c>
      <c r="E71" s="640">
        <v>6</v>
      </c>
      <c r="F71" s="326">
        <v>1</v>
      </c>
      <c r="G71" s="428">
        <v>44832</v>
      </c>
      <c r="H71" s="384">
        <v>-31.846520000000002</v>
      </c>
      <c r="I71" s="384">
        <v>25.19228</v>
      </c>
      <c r="J71" s="333">
        <v>30</v>
      </c>
      <c r="K71" s="333">
        <v>4.2</v>
      </c>
      <c r="L71" s="333">
        <v>1.5</v>
      </c>
      <c r="M71" s="334">
        <v>12.4</v>
      </c>
      <c r="N71" s="335">
        <f t="shared" si="5"/>
        <v>16.556400000000004</v>
      </c>
      <c r="O71" s="217"/>
      <c r="Q71" s="216"/>
      <c r="R71" s="218"/>
      <c r="S71" s="218"/>
      <c r="T71" s="218"/>
    </row>
    <row r="72" spans="1:20" x14ac:dyDescent="0.2">
      <c r="A72" s="638"/>
      <c r="B72" s="641"/>
      <c r="C72" s="641"/>
      <c r="D72" s="644"/>
      <c r="E72" s="641"/>
      <c r="F72" s="329">
        <v>2</v>
      </c>
      <c r="G72" s="336">
        <v>44832</v>
      </c>
      <c r="H72" s="387">
        <v>-31.840309999999999</v>
      </c>
      <c r="I72" s="387">
        <v>25.205829999999999</v>
      </c>
      <c r="J72" s="45">
        <v>30</v>
      </c>
      <c r="K72" s="45">
        <v>2.9</v>
      </c>
      <c r="L72" s="45">
        <v>1.5</v>
      </c>
      <c r="M72" s="88">
        <v>6.4</v>
      </c>
      <c r="N72" s="339">
        <f t="shared" si="5"/>
        <v>12.2148</v>
      </c>
      <c r="O72" s="223"/>
      <c r="Q72" s="216"/>
      <c r="R72" s="216"/>
      <c r="S72" s="216"/>
      <c r="T72" s="216"/>
    </row>
    <row r="73" spans="1:20" x14ac:dyDescent="0.2">
      <c r="A73" s="638"/>
      <c r="B73" s="641"/>
      <c r="C73" s="641"/>
      <c r="D73" s="644"/>
      <c r="E73" s="647"/>
      <c r="F73" s="327">
        <v>3</v>
      </c>
      <c r="G73" s="362">
        <v>44832</v>
      </c>
      <c r="H73" s="387">
        <v>-31.834289999999999</v>
      </c>
      <c r="I73" s="387">
        <v>25.21904</v>
      </c>
      <c r="J73" s="388">
        <v>30</v>
      </c>
      <c r="K73" s="45">
        <v>6.3</v>
      </c>
      <c r="L73" s="45">
        <v>1.1000000000000001</v>
      </c>
      <c r="M73" s="88">
        <v>58.7</v>
      </c>
      <c r="N73" s="339">
        <f t="shared" si="5"/>
        <v>8.586269999999999</v>
      </c>
      <c r="O73" s="223"/>
      <c r="Q73" s="216"/>
      <c r="R73" s="216"/>
      <c r="S73" s="216"/>
      <c r="T73" s="216"/>
    </row>
    <row r="74" spans="1:20" x14ac:dyDescent="0.2">
      <c r="A74" s="638"/>
      <c r="B74" s="641"/>
      <c r="C74" s="641"/>
      <c r="D74" s="644"/>
      <c r="E74" s="647"/>
      <c r="F74" s="327">
        <v>4</v>
      </c>
      <c r="G74" s="336">
        <v>44906</v>
      </c>
      <c r="H74" s="387">
        <v>-31.833189999999998</v>
      </c>
      <c r="I74" s="387">
        <v>25.250969999999999</v>
      </c>
      <c r="J74" s="388">
        <v>30</v>
      </c>
      <c r="K74" s="45">
        <v>10.8</v>
      </c>
      <c r="L74" s="45">
        <v>1.2</v>
      </c>
      <c r="M74" s="88">
        <v>30</v>
      </c>
      <c r="N74" s="339">
        <f t="shared" si="5"/>
        <v>27.215999999999998</v>
      </c>
      <c r="O74" s="223"/>
      <c r="Q74" s="216"/>
      <c r="R74" s="216"/>
      <c r="S74" s="216"/>
      <c r="T74" s="216"/>
    </row>
    <row r="75" spans="1:20" x14ac:dyDescent="0.2">
      <c r="A75" s="638"/>
      <c r="B75" s="641"/>
      <c r="C75" s="641"/>
      <c r="D75" s="644"/>
      <c r="E75" s="647"/>
      <c r="F75" s="327">
        <v>5</v>
      </c>
      <c r="G75" s="336">
        <v>44906</v>
      </c>
      <c r="H75" s="387">
        <v>-31.822890000000001</v>
      </c>
      <c r="I75" s="387">
        <v>25.276520000000001</v>
      </c>
      <c r="J75" s="388">
        <v>30</v>
      </c>
      <c r="K75" s="45">
        <v>13.9</v>
      </c>
      <c r="L75" s="45">
        <v>1.1000000000000001</v>
      </c>
      <c r="M75" s="88">
        <v>61.5</v>
      </c>
      <c r="N75" s="339">
        <f t="shared" si="5"/>
        <v>17.659950000000006</v>
      </c>
      <c r="O75" s="223"/>
      <c r="Q75" s="216"/>
      <c r="R75" s="216"/>
      <c r="S75" s="216"/>
      <c r="T75" s="216"/>
    </row>
    <row r="76" spans="1:20" ht="16" thickBot="1" x14ac:dyDescent="0.25">
      <c r="A76" s="639"/>
      <c r="B76" s="642"/>
      <c r="C76" s="642"/>
      <c r="D76" s="645"/>
      <c r="E76" s="648"/>
      <c r="F76" s="328">
        <v>6</v>
      </c>
      <c r="G76" s="336">
        <v>44906</v>
      </c>
      <c r="H76" s="396">
        <v>-31.857620000000001</v>
      </c>
      <c r="I76" s="396">
        <v>25.179790000000001</v>
      </c>
      <c r="J76" s="397">
        <v>30</v>
      </c>
      <c r="K76" s="343">
        <v>9</v>
      </c>
      <c r="L76" s="343">
        <v>1.1000000000000001</v>
      </c>
      <c r="M76" s="344">
        <v>47.6</v>
      </c>
      <c r="N76" s="345">
        <f t="shared" si="5"/>
        <v>15.562800000000003</v>
      </c>
      <c r="O76" s="223"/>
      <c r="Q76" s="216"/>
      <c r="R76" s="216"/>
      <c r="S76" s="216"/>
      <c r="T76" s="216"/>
    </row>
    <row r="77" spans="1:20" x14ac:dyDescent="0.2">
      <c r="A77" s="637">
        <v>14</v>
      </c>
      <c r="B77" s="640" t="s">
        <v>133</v>
      </c>
      <c r="C77" s="640"/>
      <c r="D77" s="643">
        <f>Assumptions!D74</f>
        <v>3768.0449999999996</v>
      </c>
      <c r="E77" s="646">
        <v>6</v>
      </c>
      <c r="F77" s="326">
        <v>1</v>
      </c>
      <c r="G77" s="428">
        <v>44833</v>
      </c>
      <c r="H77" s="384">
        <v>-31.562339999999999</v>
      </c>
      <c r="I77" s="384">
        <v>25.19631</v>
      </c>
      <c r="J77" s="385">
        <v>30</v>
      </c>
      <c r="K77" s="365">
        <f>(2+2.3+2.6)/3</f>
        <v>2.3000000000000003</v>
      </c>
      <c r="L77" s="332">
        <f>(1.53+1.54+1.49)/3</f>
        <v>1.5200000000000002</v>
      </c>
      <c r="M77" s="395">
        <f>(1.21+1.26+1.96)/3</f>
        <v>1.4766666666666666</v>
      </c>
      <c r="N77" s="335">
        <f t="shared" si="5"/>
        <v>10.333127200000002</v>
      </c>
      <c r="O77" s="217"/>
      <c r="Q77" s="216"/>
      <c r="R77" s="218"/>
      <c r="S77" s="218"/>
      <c r="T77" s="218"/>
    </row>
    <row r="78" spans="1:20" x14ac:dyDescent="0.2">
      <c r="A78" s="638"/>
      <c r="B78" s="641"/>
      <c r="C78" s="641"/>
      <c r="D78" s="644"/>
      <c r="E78" s="647"/>
      <c r="F78" s="327">
        <v>2</v>
      </c>
      <c r="G78" s="336">
        <v>44833</v>
      </c>
      <c r="H78" s="387">
        <v>-31.591470000000001</v>
      </c>
      <c r="I78" s="387">
        <v>25.160019999999999</v>
      </c>
      <c r="J78" s="388">
        <v>30</v>
      </c>
      <c r="K78" s="355">
        <v>8.6</v>
      </c>
      <c r="L78" s="338">
        <v>1</v>
      </c>
      <c r="M78" s="88">
        <v>0</v>
      </c>
      <c r="N78" s="339">
        <f t="shared" si="5"/>
        <v>25.8</v>
      </c>
      <c r="O78" s="223"/>
      <c r="Q78" s="216"/>
      <c r="R78" s="216"/>
      <c r="S78" s="216"/>
      <c r="T78" s="216"/>
    </row>
    <row r="79" spans="1:20" x14ac:dyDescent="0.2">
      <c r="A79" s="638"/>
      <c r="B79" s="641"/>
      <c r="C79" s="641"/>
      <c r="D79" s="644"/>
      <c r="E79" s="641"/>
      <c r="F79" s="361">
        <v>3</v>
      </c>
      <c r="G79" s="336">
        <v>44833</v>
      </c>
      <c r="H79" s="387">
        <v>-31.59863</v>
      </c>
      <c r="I79" s="387">
        <v>25.144220000000001</v>
      </c>
      <c r="J79" s="45">
        <v>30</v>
      </c>
      <c r="K79" s="355">
        <v>7</v>
      </c>
      <c r="L79" s="338">
        <v>1</v>
      </c>
      <c r="M79" s="88">
        <v>0</v>
      </c>
      <c r="N79" s="339">
        <f t="shared" si="5"/>
        <v>21</v>
      </c>
      <c r="O79" s="223"/>
      <c r="Q79" s="216"/>
      <c r="R79" s="216"/>
      <c r="S79" s="216"/>
      <c r="T79" s="216"/>
    </row>
    <row r="80" spans="1:20" x14ac:dyDescent="0.2">
      <c r="A80" s="638"/>
      <c r="B80" s="641"/>
      <c r="C80" s="641"/>
      <c r="D80" s="644"/>
      <c r="E80" s="641"/>
      <c r="F80" s="327">
        <v>4</v>
      </c>
      <c r="G80" s="336">
        <v>44833</v>
      </c>
      <c r="H80" s="387">
        <v>-31.577390000000001</v>
      </c>
      <c r="I80" s="387">
        <v>25.235800000000001</v>
      </c>
      <c r="J80" s="45">
        <v>30</v>
      </c>
      <c r="K80" s="355">
        <v>6.2</v>
      </c>
      <c r="L80" s="338">
        <v>1</v>
      </c>
      <c r="M80" s="88">
        <v>0</v>
      </c>
      <c r="N80" s="339">
        <f t="shared" si="5"/>
        <v>18.600000000000001</v>
      </c>
      <c r="O80" s="223"/>
      <c r="Q80" s="216"/>
      <c r="R80" s="216"/>
      <c r="S80" s="216"/>
      <c r="T80" s="216"/>
    </row>
    <row r="81" spans="1:20" x14ac:dyDescent="0.2">
      <c r="A81" s="638"/>
      <c r="B81" s="641"/>
      <c r="C81" s="641"/>
      <c r="D81" s="644"/>
      <c r="E81" s="641"/>
      <c r="F81" s="327">
        <v>5</v>
      </c>
      <c r="G81" s="336">
        <v>44907</v>
      </c>
      <c r="H81" s="387">
        <v>-31.582850000000001</v>
      </c>
      <c r="I81" s="387">
        <v>25.1831</v>
      </c>
      <c r="J81" s="45">
        <v>30</v>
      </c>
      <c r="K81" s="355">
        <v>17.600000000000001</v>
      </c>
      <c r="L81" s="338">
        <v>1.4</v>
      </c>
      <c r="M81" s="88">
        <v>4.3</v>
      </c>
      <c r="N81" s="339">
        <f t="shared" si="5"/>
        <v>70.741439999999997</v>
      </c>
      <c r="O81" s="223"/>
      <c r="Q81" s="216"/>
      <c r="R81" s="216"/>
      <c r="S81" s="216"/>
      <c r="T81" s="216"/>
    </row>
    <row r="82" spans="1:20" ht="16" thickBot="1" x14ac:dyDescent="0.25">
      <c r="A82" s="638"/>
      <c r="B82" s="641"/>
      <c r="C82" s="641"/>
      <c r="D82" s="644"/>
      <c r="E82" s="641"/>
      <c r="F82" s="329">
        <v>6</v>
      </c>
      <c r="G82" s="362">
        <v>44907</v>
      </c>
      <c r="H82" s="396">
        <v>-31.56334</v>
      </c>
      <c r="I82" s="396">
        <v>25.197310000000002</v>
      </c>
      <c r="J82" s="379">
        <v>30</v>
      </c>
      <c r="K82" s="410">
        <v>4.3</v>
      </c>
      <c r="L82" s="411">
        <v>1.4</v>
      </c>
      <c r="M82" s="380">
        <v>0.9</v>
      </c>
      <c r="N82" s="381">
        <f t="shared" si="5"/>
        <v>17.897459999999999</v>
      </c>
      <c r="O82" s="223"/>
      <c r="Q82" s="216"/>
      <c r="R82" s="216"/>
      <c r="S82" s="216"/>
      <c r="T82" s="216"/>
    </row>
    <row r="83" spans="1:20" x14ac:dyDescent="0.2">
      <c r="A83" s="608">
        <v>15</v>
      </c>
      <c r="B83" s="617" t="s">
        <v>125</v>
      </c>
      <c r="C83" s="617"/>
      <c r="D83" s="624">
        <f>Assumptions!D75</f>
        <v>236.66199999999998</v>
      </c>
      <c r="E83" s="617">
        <v>3</v>
      </c>
      <c r="F83" s="326">
        <v>1</v>
      </c>
      <c r="G83" s="428">
        <v>44839</v>
      </c>
      <c r="H83" s="384">
        <v>-25.526330000000002</v>
      </c>
      <c r="I83" s="384">
        <v>30.171675</v>
      </c>
      <c r="J83" s="333">
        <v>30</v>
      </c>
      <c r="K83" s="333">
        <v>3.2</v>
      </c>
      <c r="L83" s="333">
        <v>0.9</v>
      </c>
      <c r="M83" s="334">
        <v>0</v>
      </c>
      <c r="N83" s="412">
        <f t="shared" si="5"/>
        <v>8.64</v>
      </c>
      <c r="O83" s="217"/>
      <c r="Q83" s="216"/>
      <c r="R83" s="218"/>
      <c r="S83" s="218"/>
      <c r="T83" s="218"/>
    </row>
    <row r="84" spans="1:20" x14ac:dyDescent="0.2">
      <c r="A84" s="609"/>
      <c r="B84" s="618"/>
      <c r="C84" s="618"/>
      <c r="D84" s="625"/>
      <c r="E84" s="618"/>
      <c r="F84" s="327">
        <v>2</v>
      </c>
      <c r="G84" s="336">
        <v>44839</v>
      </c>
      <c r="H84" s="387">
        <v>-25.535440000000001</v>
      </c>
      <c r="I84" s="387">
        <v>30.155660999999998</v>
      </c>
      <c r="J84" s="45">
        <v>30</v>
      </c>
      <c r="K84" s="45">
        <v>11.3</v>
      </c>
      <c r="L84" s="45">
        <v>0.9</v>
      </c>
      <c r="M84" s="88">
        <v>0</v>
      </c>
      <c r="N84" s="413">
        <f t="shared" si="5"/>
        <v>30.510000000000005</v>
      </c>
      <c r="O84" s="223"/>
      <c r="Q84" s="216"/>
      <c r="R84" s="216"/>
      <c r="S84" s="216"/>
      <c r="T84" s="216"/>
    </row>
    <row r="85" spans="1:20" ht="16" thickBot="1" x14ac:dyDescent="0.25">
      <c r="A85" s="620"/>
      <c r="B85" s="627"/>
      <c r="C85" s="627"/>
      <c r="D85" s="626"/>
      <c r="E85" s="627"/>
      <c r="F85" s="329">
        <v>3</v>
      </c>
      <c r="G85" s="362">
        <v>44839</v>
      </c>
      <c r="H85" s="396">
        <v>-25.570519999999998</v>
      </c>
      <c r="I85" s="396">
        <v>30.109362999999998</v>
      </c>
      <c r="J85" s="379">
        <v>30</v>
      </c>
      <c r="K85" s="379">
        <v>8.6</v>
      </c>
      <c r="L85" s="379">
        <v>0.9</v>
      </c>
      <c r="M85" s="380">
        <v>0</v>
      </c>
      <c r="N85" s="414">
        <f t="shared" si="5"/>
        <v>23.220000000000002</v>
      </c>
      <c r="O85" s="223"/>
      <c r="Q85" s="216"/>
      <c r="R85" s="216"/>
      <c r="S85" s="216"/>
      <c r="T85" s="216"/>
    </row>
    <row r="86" spans="1:20" ht="15" customHeight="1" x14ac:dyDescent="0.2">
      <c r="A86" s="637">
        <v>16</v>
      </c>
      <c r="B86" s="640" t="s">
        <v>134</v>
      </c>
      <c r="C86" s="640"/>
      <c r="D86" s="643">
        <f>Assumptions!D76</f>
        <v>6640.8160000000016</v>
      </c>
      <c r="E86" s="646">
        <v>9</v>
      </c>
      <c r="F86" s="326">
        <v>1</v>
      </c>
      <c r="G86" s="428">
        <v>44833</v>
      </c>
      <c r="H86" s="384">
        <v>-31.810559999999999</v>
      </c>
      <c r="I86" s="384">
        <v>24.80687</v>
      </c>
      <c r="J86" s="334">
        <v>30</v>
      </c>
      <c r="K86" s="333">
        <v>3.9</v>
      </c>
      <c r="L86" s="365">
        <v>1.4</v>
      </c>
      <c r="M86" s="332">
        <v>1.6</v>
      </c>
      <c r="N86" s="335">
        <f t="shared" si="5"/>
        <v>16.117920000000002</v>
      </c>
      <c r="O86" s="217"/>
      <c r="Q86" s="216"/>
      <c r="R86" s="218"/>
      <c r="S86" s="218"/>
      <c r="T86" s="218"/>
    </row>
    <row r="87" spans="1:20" x14ac:dyDescent="0.2">
      <c r="A87" s="638"/>
      <c r="B87" s="641"/>
      <c r="C87" s="641"/>
      <c r="D87" s="644"/>
      <c r="E87" s="647"/>
      <c r="F87" s="327">
        <v>2</v>
      </c>
      <c r="G87" s="336">
        <v>44833</v>
      </c>
      <c r="H87" s="387">
        <v>-31.819559999999999</v>
      </c>
      <c r="I87" s="387">
        <v>24.81587</v>
      </c>
      <c r="J87" s="88">
        <v>30</v>
      </c>
      <c r="K87" s="355">
        <v>5.2</v>
      </c>
      <c r="L87" s="338">
        <v>1.5</v>
      </c>
      <c r="M87" s="88">
        <v>3.5</v>
      </c>
      <c r="N87" s="339">
        <f t="shared" si="5"/>
        <v>22.581000000000003</v>
      </c>
      <c r="O87" s="223"/>
      <c r="Q87" s="216"/>
      <c r="R87" s="216"/>
      <c r="S87" s="216"/>
      <c r="T87" s="216"/>
    </row>
    <row r="88" spans="1:20" x14ac:dyDescent="0.2">
      <c r="A88" s="638"/>
      <c r="B88" s="641"/>
      <c r="C88" s="641"/>
      <c r="D88" s="644"/>
      <c r="E88" s="647"/>
      <c r="F88" s="327">
        <v>3</v>
      </c>
      <c r="G88" s="336">
        <v>44833</v>
      </c>
      <c r="H88" s="387">
        <v>-31.837039999999998</v>
      </c>
      <c r="I88" s="387">
        <v>24.806470000000001</v>
      </c>
      <c r="J88" s="88">
        <v>30</v>
      </c>
      <c r="K88" s="355">
        <v>9.6999999999999993</v>
      </c>
      <c r="L88" s="338">
        <v>1.4</v>
      </c>
      <c r="M88" s="88">
        <v>1.3</v>
      </c>
      <c r="N88" s="339">
        <f t="shared" si="5"/>
        <v>40.210380000000001</v>
      </c>
      <c r="O88" s="223"/>
      <c r="Q88" s="216"/>
      <c r="R88" s="216"/>
      <c r="S88" s="216"/>
      <c r="T88" s="216"/>
    </row>
    <row r="89" spans="1:20" x14ac:dyDescent="0.2">
      <c r="A89" s="638"/>
      <c r="B89" s="641"/>
      <c r="C89" s="641"/>
      <c r="D89" s="644"/>
      <c r="E89" s="647"/>
      <c r="F89" s="327">
        <v>4</v>
      </c>
      <c r="G89" s="336">
        <v>44833</v>
      </c>
      <c r="H89" s="387">
        <v>-31.83661</v>
      </c>
      <c r="I89" s="387">
        <v>24.805299999999999</v>
      </c>
      <c r="J89" s="88">
        <v>30</v>
      </c>
      <c r="K89" s="355">
        <v>8.4</v>
      </c>
      <c r="L89" s="338">
        <v>0.9</v>
      </c>
      <c r="M89" s="88">
        <v>0</v>
      </c>
      <c r="N89" s="339">
        <f t="shared" si="5"/>
        <v>22.680000000000003</v>
      </c>
      <c r="O89" s="223"/>
      <c r="Q89" s="216"/>
      <c r="R89" s="216"/>
      <c r="S89" s="216"/>
      <c r="T89" s="216"/>
    </row>
    <row r="90" spans="1:20" x14ac:dyDescent="0.2">
      <c r="A90" s="638"/>
      <c r="B90" s="641"/>
      <c r="C90" s="641"/>
      <c r="D90" s="644"/>
      <c r="E90" s="647"/>
      <c r="F90" s="327">
        <v>5</v>
      </c>
      <c r="G90" s="336">
        <v>44833</v>
      </c>
      <c r="H90" s="387">
        <v>-32.850230000000003</v>
      </c>
      <c r="I90" s="387">
        <v>24.832709999999999</v>
      </c>
      <c r="J90" s="88">
        <v>30</v>
      </c>
      <c r="K90" s="355">
        <v>10.8</v>
      </c>
      <c r="L90" s="338">
        <v>0.9</v>
      </c>
      <c r="M90" s="88">
        <v>0</v>
      </c>
      <c r="N90" s="339">
        <f t="shared" si="5"/>
        <v>29.160000000000004</v>
      </c>
      <c r="O90" s="223"/>
      <c r="Q90" s="216"/>
      <c r="R90" s="216"/>
      <c r="S90" s="216"/>
      <c r="T90" s="216"/>
    </row>
    <row r="91" spans="1:20" x14ac:dyDescent="0.2">
      <c r="A91" s="638"/>
      <c r="B91" s="641"/>
      <c r="C91" s="641"/>
      <c r="D91" s="644"/>
      <c r="E91" s="647"/>
      <c r="F91" s="327">
        <v>6</v>
      </c>
      <c r="G91" s="362">
        <v>44833</v>
      </c>
      <c r="H91" s="387">
        <v>-31.81869</v>
      </c>
      <c r="I91" s="387">
        <v>24.8033</v>
      </c>
      <c r="J91" s="88">
        <v>30</v>
      </c>
      <c r="K91" s="355">
        <v>12.6</v>
      </c>
      <c r="L91" s="338">
        <v>0.9</v>
      </c>
      <c r="M91" s="88">
        <v>0</v>
      </c>
      <c r="N91" s="339">
        <f t="shared" si="5"/>
        <v>34.020000000000003</v>
      </c>
      <c r="O91" s="223"/>
      <c r="Q91" s="216"/>
      <c r="R91" s="216"/>
      <c r="S91" s="216"/>
      <c r="T91" s="216"/>
    </row>
    <row r="92" spans="1:20" x14ac:dyDescent="0.2">
      <c r="A92" s="638"/>
      <c r="B92" s="641"/>
      <c r="C92" s="641"/>
      <c r="D92" s="644"/>
      <c r="E92" s="647"/>
      <c r="F92" s="327">
        <v>7</v>
      </c>
      <c r="G92" s="336">
        <v>44908</v>
      </c>
      <c r="H92" s="387">
        <v>-31.837039999999998</v>
      </c>
      <c r="I92" s="387">
        <v>24.806470000000001</v>
      </c>
      <c r="J92" s="214">
        <v>110</v>
      </c>
      <c r="K92" s="40">
        <v>13.7</v>
      </c>
      <c r="L92" s="38">
        <v>1.5</v>
      </c>
      <c r="M92" s="356">
        <v>1.8</v>
      </c>
      <c r="N92" s="339">
        <f t="shared" si="5"/>
        <v>221.98109999999997</v>
      </c>
      <c r="O92" s="223"/>
      <c r="Q92" s="216"/>
      <c r="R92" s="216"/>
      <c r="S92" s="216"/>
      <c r="T92" s="216"/>
    </row>
    <row r="93" spans="1:20" x14ac:dyDescent="0.2">
      <c r="A93" s="638"/>
      <c r="B93" s="641"/>
      <c r="C93" s="641"/>
      <c r="D93" s="644"/>
      <c r="E93" s="647"/>
      <c r="F93" s="327">
        <v>8</v>
      </c>
      <c r="G93" s="336">
        <v>44908</v>
      </c>
      <c r="H93" s="387">
        <v>-31.804970000000001</v>
      </c>
      <c r="I93" s="387">
        <v>24.80386</v>
      </c>
      <c r="J93" s="88">
        <v>30</v>
      </c>
      <c r="K93" s="355">
        <v>8.6</v>
      </c>
      <c r="L93" s="338">
        <v>1.4</v>
      </c>
      <c r="M93" s="88">
        <v>1.2</v>
      </c>
      <c r="N93" s="339">
        <f t="shared" si="5"/>
        <v>35.68656</v>
      </c>
      <c r="O93" s="223"/>
      <c r="Q93" s="216"/>
      <c r="R93" s="216"/>
      <c r="S93" s="216"/>
      <c r="T93" s="216"/>
    </row>
    <row r="94" spans="1:20" ht="16" thickBot="1" x14ac:dyDescent="0.25">
      <c r="A94" s="639"/>
      <c r="B94" s="642"/>
      <c r="C94" s="642"/>
      <c r="D94" s="645"/>
      <c r="E94" s="648"/>
      <c r="F94" s="328">
        <v>9</v>
      </c>
      <c r="G94" s="336">
        <v>44908</v>
      </c>
      <c r="H94" s="396">
        <v>-31.844609999999999</v>
      </c>
      <c r="I94" s="396">
        <v>24.885300000000001</v>
      </c>
      <c r="J94" s="390">
        <v>30</v>
      </c>
      <c r="K94" s="40">
        <v>11.8</v>
      </c>
      <c r="L94" s="38">
        <v>0.9</v>
      </c>
      <c r="M94" s="356">
        <v>0</v>
      </c>
      <c r="N94" s="345">
        <f t="shared" si="5"/>
        <v>31.860000000000003</v>
      </c>
      <c r="O94" s="223"/>
      <c r="Q94" s="216"/>
      <c r="R94" s="216"/>
      <c r="S94" s="216"/>
      <c r="T94" s="216"/>
    </row>
    <row r="95" spans="1:20" ht="16" thickBot="1" x14ac:dyDescent="0.25">
      <c r="A95" s="608">
        <v>17</v>
      </c>
      <c r="B95" s="611" t="s">
        <v>130</v>
      </c>
      <c r="C95" s="611"/>
      <c r="D95" s="624">
        <f>Assumptions!D77</f>
        <v>837.08299999999997</v>
      </c>
      <c r="E95" s="646">
        <v>3</v>
      </c>
      <c r="F95" s="326">
        <v>1</v>
      </c>
      <c r="G95" s="330">
        <v>44839</v>
      </c>
      <c r="H95" s="384">
        <v>-29.545812000000002</v>
      </c>
      <c r="I95" s="384">
        <v>30.530593</v>
      </c>
      <c r="J95" s="333">
        <v>30</v>
      </c>
      <c r="K95" s="374">
        <v>3.8</v>
      </c>
      <c r="L95" s="333">
        <v>1.2</v>
      </c>
      <c r="M95" s="334">
        <v>0</v>
      </c>
      <c r="N95" s="412">
        <f t="shared" ref="N95:N133" si="6">K95*L95*J95*(1-M95%)*0.1</f>
        <v>13.68</v>
      </c>
      <c r="O95" s="217"/>
      <c r="Q95" s="216"/>
      <c r="R95" s="218"/>
      <c r="S95" s="218"/>
      <c r="T95" s="218"/>
    </row>
    <row r="96" spans="1:20" x14ac:dyDescent="0.2">
      <c r="A96" s="609"/>
      <c r="B96" s="612"/>
      <c r="C96" s="612"/>
      <c r="D96" s="625"/>
      <c r="E96" s="647"/>
      <c r="F96" s="327">
        <v>2</v>
      </c>
      <c r="G96" s="330">
        <v>44839</v>
      </c>
      <c r="H96" s="387">
        <v>-29.521362</v>
      </c>
      <c r="I96" s="387">
        <v>30.508845000000001</v>
      </c>
      <c r="J96" s="404">
        <v>45</v>
      </c>
      <c r="K96" s="405">
        <v>2.2000000000000002</v>
      </c>
      <c r="L96" s="405">
        <v>1.1000000000000001</v>
      </c>
      <c r="M96" s="406">
        <v>0</v>
      </c>
      <c r="N96" s="413">
        <f t="shared" si="6"/>
        <v>10.890000000000002</v>
      </c>
      <c r="O96" s="223"/>
      <c r="Q96" s="216"/>
      <c r="R96" s="216"/>
      <c r="S96" s="216"/>
      <c r="T96" s="216"/>
    </row>
    <row r="97" spans="1:20" ht="16" thickBot="1" x14ac:dyDescent="0.25">
      <c r="A97" s="610"/>
      <c r="B97" s="613"/>
      <c r="C97" s="613"/>
      <c r="D97" s="636"/>
      <c r="E97" s="648"/>
      <c r="F97" s="328">
        <v>3</v>
      </c>
      <c r="G97" s="367">
        <v>44895</v>
      </c>
      <c r="H97" s="387">
        <v>-29.522462000000001</v>
      </c>
      <c r="I97" s="387">
        <v>30.509644999999999</v>
      </c>
      <c r="J97" s="407">
        <v>30</v>
      </c>
      <c r="K97" s="408">
        <v>3.3</v>
      </c>
      <c r="L97" s="408">
        <v>1.1000000000000001</v>
      </c>
      <c r="M97" s="409">
        <v>0</v>
      </c>
      <c r="N97" s="415">
        <f t="shared" si="6"/>
        <v>10.89</v>
      </c>
      <c r="O97" s="223"/>
      <c r="Q97" s="216"/>
      <c r="R97" s="216"/>
      <c r="S97" s="216"/>
      <c r="T97" s="216"/>
    </row>
    <row r="98" spans="1:20" x14ac:dyDescent="0.2">
      <c r="A98" s="608">
        <v>18</v>
      </c>
      <c r="B98" s="617" t="s">
        <v>351</v>
      </c>
      <c r="C98" s="617"/>
      <c r="D98" s="624">
        <f>Assumptions!D78</f>
        <v>1849.3409999999997</v>
      </c>
      <c r="E98" s="646">
        <v>3</v>
      </c>
      <c r="F98" s="326">
        <v>1</v>
      </c>
      <c r="G98" s="428">
        <v>44795</v>
      </c>
      <c r="H98" s="384">
        <v>-28.013680000000001</v>
      </c>
      <c r="I98" s="384">
        <v>29.276530000000001</v>
      </c>
      <c r="J98" s="333">
        <v>40</v>
      </c>
      <c r="K98" s="365">
        <v>4.8</v>
      </c>
      <c r="L98" s="332">
        <v>1.4</v>
      </c>
      <c r="M98" s="334">
        <v>1.2</v>
      </c>
      <c r="N98" s="335">
        <f t="shared" si="6"/>
        <v>26.557440000000003</v>
      </c>
      <c r="O98" s="217"/>
      <c r="Q98" s="216"/>
      <c r="R98" s="218"/>
      <c r="S98" s="218"/>
      <c r="T98" s="218"/>
    </row>
    <row r="99" spans="1:20" x14ac:dyDescent="0.2">
      <c r="A99" s="609"/>
      <c r="B99" s="618" t="s">
        <v>135</v>
      </c>
      <c r="C99" s="618"/>
      <c r="D99" s="625"/>
      <c r="E99" s="647"/>
      <c r="F99" s="386">
        <v>2</v>
      </c>
      <c r="G99" s="336">
        <v>44795</v>
      </c>
      <c r="H99" s="436">
        <v>-28.390149999999998</v>
      </c>
      <c r="I99" s="387">
        <v>29.256150000000002</v>
      </c>
      <c r="J99" s="45">
        <v>30</v>
      </c>
      <c r="K99" s="416">
        <f>(5.3+4.8+4.7)/3</f>
        <v>4.9333333333333336</v>
      </c>
      <c r="L99" s="417">
        <f>(1.34+1.37+1.41)/3</f>
        <v>1.3733333333333333</v>
      </c>
      <c r="M99" s="401">
        <f>(57.9+44.67+57.49)/3</f>
        <v>53.353333333333332</v>
      </c>
      <c r="N99" s="339">
        <f t="shared" si="6"/>
        <v>9.4810904888888903</v>
      </c>
      <c r="O99" s="223"/>
      <c r="Q99" s="216"/>
      <c r="R99" s="216"/>
      <c r="S99" s="216"/>
      <c r="T99" s="216"/>
    </row>
    <row r="100" spans="1:20" ht="16" thickBot="1" x14ac:dyDescent="0.25">
      <c r="A100" s="610"/>
      <c r="B100" s="619" t="s">
        <v>135</v>
      </c>
      <c r="C100" s="619"/>
      <c r="D100" s="636"/>
      <c r="E100" s="648"/>
      <c r="F100" s="328">
        <v>3</v>
      </c>
      <c r="G100" s="362">
        <v>44795</v>
      </c>
      <c r="H100" s="396">
        <v>-28.37359</v>
      </c>
      <c r="I100" s="396">
        <v>29.268339999999998</v>
      </c>
      <c r="J100" s="343">
        <v>30</v>
      </c>
      <c r="K100" s="360">
        <v>4.0999999999999996</v>
      </c>
      <c r="L100" s="342">
        <v>1.4</v>
      </c>
      <c r="M100" s="344">
        <v>2.4</v>
      </c>
      <c r="N100" s="345">
        <f t="shared" si="6"/>
        <v>16.806719999999999</v>
      </c>
      <c r="O100" s="223"/>
      <c r="Q100" s="216"/>
      <c r="R100" s="216"/>
      <c r="S100" s="216"/>
      <c r="T100" s="216"/>
    </row>
    <row r="101" spans="1:20" x14ac:dyDescent="0.2">
      <c r="A101" s="649">
        <v>19</v>
      </c>
      <c r="B101" s="651" t="s">
        <v>37</v>
      </c>
      <c r="C101" s="651"/>
      <c r="D101" s="653">
        <f>Assumptions!D79</f>
        <v>7884.7310000000007</v>
      </c>
      <c r="E101" s="646">
        <v>9</v>
      </c>
      <c r="F101" s="326">
        <v>1</v>
      </c>
      <c r="G101" s="428">
        <v>44757</v>
      </c>
      <c r="H101" s="384">
        <v>-26.357306000000001</v>
      </c>
      <c r="I101" s="384">
        <v>30.21632</v>
      </c>
      <c r="J101" s="333">
        <v>30</v>
      </c>
      <c r="K101" s="393">
        <v>2.5</v>
      </c>
      <c r="L101" s="393">
        <v>1.5</v>
      </c>
      <c r="M101" s="334">
        <v>1.2</v>
      </c>
      <c r="N101" s="335">
        <f t="shared" si="6"/>
        <v>11.115000000000002</v>
      </c>
      <c r="O101" s="217"/>
      <c r="Q101" s="216"/>
      <c r="R101" s="218"/>
      <c r="S101" s="218"/>
      <c r="T101" s="218"/>
    </row>
    <row r="102" spans="1:20" x14ac:dyDescent="0.2">
      <c r="A102" s="650"/>
      <c r="B102" s="652"/>
      <c r="C102" s="652"/>
      <c r="D102" s="654"/>
      <c r="E102" s="647"/>
      <c r="F102" s="386">
        <v>2</v>
      </c>
      <c r="G102" s="336">
        <v>44757</v>
      </c>
      <c r="H102" s="436">
        <v>-26.358179</v>
      </c>
      <c r="I102" s="387">
        <v>30.223659999999999</v>
      </c>
      <c r="J102" s="45">
        <v>50</v>
      </c>
      <c r="K102" s="416">
        <v>4.4000000000000004</v>
      </c>
      <c r="L102" s="416">
        <v>1.3</v>
      </c>
      <c r="M102" s="88">
        <v>2.9</v>
      </c>
      <c r="N102" s="339">
        <f t="shared" si="6"/>
        <v>27.770600000000009</v>
      </c>
      <c r="O102" s="223"/>
      <c r="Q102" s="216"/>
      <c r="R102" s="216"/>
      <c r="S102" s="216"/>
      <c r="T102" s="216"/>
    </row>
    <row r="103" spans="1:20" x14ac:dyDescent="0.2">
      <c r="A103" s="650"/>
      <c r="B103" s="652"/>
      <c r="C103" s="652"/>
      <c r="D103" s="654"/>
      <c r="E103" s="647"/>
      <c r="F103" s="327">
        <v>3</v>
      </c>
      <c r="G103" s="362">
        <v>44798</v>
      </c>
      <c r="H103" s="387">
        <v>-26.360022000000001</v>
      </c>
      <c r="I103" s="387">
        <v>30.223569999999999</v>
      </c>
      <c r="J103" s="45">
        <v>30</v>
      </c>
      <c r="K103" s="416">
        <v>4.5999999999999996</v>
      </c>
      <c r="L103" s="416">
        <v>1.4</v>
      </c>
      <c r="M103" s="88">
        <v>1.5</v>
      </c>
      <c r="N103" s="339">
        <f t="shared" si="6"/>
        <v>19.030200000000001</v>
      </c>
      <c r="O103" s="223"/>
      <c r="Q103" s="216"/>
      <c r="R103" s="216"/>
      <c r="S103" s="216"/>
      <c r="T103" s="216"/>
    </row>
    <row r="104" spans="1:20" x14ac:dyDescent="0.2">
      <c r="A104" s="650"/>
      <c r="B104" s="652"/>
      <c r="C104" s="652"/>
      <c r="D104" s="654"/>
      <c r="E104" s="647"/>
      <c r="F104" s="327">
        <v>4</v>
      </c>
      <c r="G104" s="336">
        <v>44798</v>
      </c>
      <c r="H104" s="387">
        <v>-26.421140000000001</v>
      </c>
      <c r="I104" s="387">
        <v>30.254149999999999</v>
      </c>
      <c r="J104" s="45">
        <v>30</v>
      </c>
      <c r="K104" s="416">
        <v>3.4</v>
      </c>
      <c r="L104" s="416">
        <v>1.5</v>
      </c>
      <c r="M104" s="88">
        <v>1.7</v>
      </c>
      <c r="N104" s="339">
        <f t="shared" si="6"/>
        <v>15.039900000000001</v>
      </c>
      <c r="O104" s="223"/>
      <c r="Q104" s="216"/>
      <c r="R104" s="216"/>
      <c r="S104" s="216"/>
      <c r="T104" s="216"/>
    </row>
    <row r="105" spans="1:20" x14ac:dyDescent="0.2">
      <c r="A105" s="650"/>
      <c r="B105" s="652"/>
      <c r="C105" s="652"/>
      <c r="D105" s="654"/>
      <c r="E105" s="647"/>
      <c r="F105" s="327">
        <v>5</v>
      </c>
      <c r="G105" s="336">
        <v>44798</v>
      </c>
      <c r="H105" s="387">
        <v>-26.347339999999999</v>
      </c>
      <c r="I105" s="387">
        <v>30.226310000000002</v>
      </c>
      <c r="J105" s="45">
        <v>30</v>
      </c>
      <c r="K105" s="416">
        <v>3</v>
      </c>
      <c r="L105" s="416">
        <v>1.5</v>
      </c>
      <c r="M105" s="88">
        <v>1.9</v>
      </c>
      <c r="N105" s="339">
        <f t="shared" si="6"/>
        <v>13.243500000000001</v>
      </c>
      <c r="O105" s="223"/>
      <c r="Q105" s="216"/>
      <c r="R105" s="216"/>
      <c r="S105" s="216"/>
      <c r="T105" s="216"/>
    </row>
    <row r="106" spans="1:20" x14ac:dyDescent="0.2">
      <c r="A106" s="650"/>
      <c r="B106" s="652"/>
      <c r="C106" s="652"/>
      <c r="D106" s="654"/>
      <c r="E106" s="647"/>
      <c r="F106" s="327">
        <v>6</v>
      </c>
      <c r="G106" s="336">
        <v>44798</v>
      </c>
      <c r="H106" s="387">
        <v>-26.353496</v>
      </c>
      <c r="I106" s="387">
        <v>30.236360000000001</v>
      </c>
      <c r="J106" s="45">
        <v>30</v>
      </c>
      <c r="K106" s="416">
        <v>3.1</v>
      </c>
      <c r="L106" s="416">
        <v>1.3</v>
      </c>
      <c r="M106" s="88">
        <v>0.9</v>
      </c>
      <c r="N106" s="339">
        <f t="shared" si="6"/>
        <v>11.981190000000002</v>
      </c>
      <c r="O106" s="223"/>
      <c r="Q106" s="216"/>
      <c r="R106" s="216"/>
      <c r="S106" s="216"/>
      <c r="T106" s="216"/>
    </row>
    <row r="107" spans="1:20" x14ac:dyDescent="0.2">
      <c r="A107" s="650"/>
      <c r="B107" s="652"/>
      <c r="C107" s="652"/>
      <c r="D107" s="654"/>
      <c r="E107" s="647"/>
      <c r="F107" s="327">
        <v>7</v>
      </c>
      <c r="G107" s="336">
        <v>44798</v>
      </c>
      <c r="H107" s="387">
        <v>-26.355422999999998</v>
      </c>
      <c r="I107" s="387">
        <v>30.218019999999999</v>
      </c>
      <c r="J107" s="45">
        <v>30</v>
      </c>
      <c r="K107" s="416">
        <v>2.6</v>
      </c>
      <c r="L107" s="416">
        <v>1.3</v>
      </c>
      <c r="M107" s="88">
        <v>1.4</v>
      </c>
      <c r="N107" s="339">
        <f t="shared" si="6"/>
        <v>9.9980400000000014</v>
      </c>
      <c r="O107" s="223"/>
      <c r="Q107" s="216"/>
      <c r="R107" s="216"/>
      <c r="S107" s="216"/>
      <c r="T107" s="216"/>
    </row>
    <row r="108" spans="1:20" x14ac:dyDescent="0.2">
      <c r="A108" s="650"/>
      <c r="B108" s="652"/>
      <c r="C108" s="652"/>
      <c r="D108" s="654"/>
      <c r="E108" s="647"/>
      <c r="F108" s="327">
        <v>8</v>
      </c>
      <c r="G108" s="336">
        <v>44798</v>
      </c>
      <c r="H108" s="387">
        <v>-26.41845</v>
      </c>
      <c r="I108" s="387">
        <v>30.24635</v>
      </c>
      <c r="J108" s="45">
        <v>30</v>
      </c>
      <c r="K108" s="416">
        <v>3</v>
      </c>
      <c r="L108" s="416">
        <v>1.5</v>
      </c>
      <c r="M108" s="88">
        <v>1</v>
      </c>
      <c r="N108" s="339">
        <f t="shared" si="6"/>
        <v>13.365000000000002</v>
      </c>
      <c r="O108" s="223"/>
      <c r="Q108" s="216"/>
      <c r="R108" s="216"/>
      <c r="S108" s="216"/>
      <c r="T108" s="216"/>
    </row>
    <row r="109" spans="1:20" ht="16" thickBot="1" x14ac:dyDescent="0.25">
      <c r="A109" s="650"/>
      <c r="B109" s="652"/>
      <c r="C109" s="652"/>
      <c r="D109" s="654"/>
      <c r="E109" s="647"/>
      <c r="F109" s="329">
        <v>9</v>
      </c>
      <c r="G109" s="367">
        <v>44798</v>
      </c>
      <c r="H109" s="419">
        <v>-26.367421</v>
      </c>
      <c r="I109" s="419">
        <v>30.22634</v>
      </c>
      <c r="J109" s="379">
        <v>30</v>
      </c>
      <c r="K109" s="434">
        <v>2.7</v>
      </c>
      <c r="L109" s="434">
        <v>1.3</v>
      </c>
      <c r="M109" s="380">
        <v>1.5</v>
      </c>
      <c r="N109" s="381">
        <f t="shared" si="6"/>
        <v>10.372050000000002</v>
      </c>
      <c r="O109" s="223"/>
      <c r="Q109" s="216"/>
      <c r="R109" s="216"/>
      <c r="S109" s="216"/>
      <c r="T109" s="216"/>
    </row>
    <row r="110" spans="1:20" x14ac:dyDescent="0.2">
      <c r="A110" s="608">
        <v>20</v>
      </c>
      <c r="B110" s="611" t="s">
        <v>135</v>
      </c>
      <c r="C110" s="611"/>
      <c r="D110" s="624">
        <f>Assumptions!D80</f>
        <v>2195.1750000000002</v>
      </c>
      <c r="E110" s="617">
        <v>3</v>
      </c>
      <c r="F110" s="326">
        <v>1</v>
      </c>
      <c r="G110" s="330">
        <v>44754</v>
      </c>
      <c r="H110" s="384">
        <v>-28.293996</v>
      </c>
      <c r="I110" s="384">
        <v>29.390119200000001</v>
      </c>
      <c r="J110" s="333">
        <v>30</v>
      </c>
      <c r="K110" s="365">
        <v>3.3</v>
      </c>
      <c r="L110" s="332">
        <v>1.5</v>
      </c>
      <c r="M110" s="334">
        <v>5.2</v>
      </c>
      <c r="N110" s="335">
        <f t="shared" si="6"/>
        <v>14.077799999999996</v>
      </c>
      <c r="O110" s="217"/>
      <c r="Q110" s="216"/>
      <c r="R110" s="218"/>
      <c r="S110" s="218"/>
      <c r="T110" s="218"/>
    </row>
    <row r="111" spans="1:20" x14ac:dyDescent="0.2">
      <c r="A111" s="609"/>
      <c r="B111" s="612" t="s">
        <v>135</v>
      </c>
      <c r="C111" s="612"/>
      <c r="D111" s="625"/>
      <c r="E111" s="618"/>
      <c r="F111" s="327">
        <v>2</v>
      </c>
      <c r="G111" s="336">
        <v>44754</v>
      </c>
      <c r="H111" s="387">
        <v>-28.2881319</v>
      </c>
      <c r="I111" s="387">
        <v>29.3919186</v>
      </c>
      <c r="J111" s="45">
        <v>30</v>
      </c>
      <c r="K111" s="355">
        <v>2.6</v>
      </c>
      <c r="L111" s="338">
        <v>1.5</v>
      </c>
      <c r="M111" s="88">
        <v>2.9</v>
      </c>
      <c r="N111" s="339">
        <f t="shared" si="6"/>
        <v>11.360700000000001</v>
      </c>
      <c r="O111" s="223"/>
      <c r="Q111" s="216"/>
      <c r="R111" s="216"/>
      <c r="S111" s="216"/>
      <c r="T111" s="216"/>
    </row>
    <row r="112" spans="1:20" ht="16" thickBot="1" x14ac:dyDescent="0.25">
      <c r="A112" s="610"/>
      <c r="B112" s="613" t="s">
        <v>135</v>
      </c>
      <c r="C112" s="613"/>
      <c r="D112" s="636"/>
      <c r="E112" s="619"/>
      <c r="F112" s="328">
        <v>3</v>
      </c>
      <c r="G112" s="340">
        <v>44754</v>
      </c>
      <c r="H112" s="396">
        <v>-28.286286</v>
      </c>
      <c r="I112" s="396">
        <v>29.398118799999999</v>
      </c>
      <c r="J112" s="343">
        <v>50</v>
      </c>
      <c r="K112" s="360">
        <v>3.1</v>
      </c>
      <c r="L112" s="342">
        <v>1.3</v>
      </c>
      <c r="M112" s="344">
        <v>1.4</v>
      </c>
      <c r="N112" s="345">
        <f t="shared" si="6"/>
        <v>19.867900000000002</v>
      </c>
      <c r="O112" s="223"/>
      <c r="Q112" s="216"/>
      <c r="R112" s="216"/>
      <c r="S112" s="216"/>
      <c r="T112" s="216"/>
    </row>
    <row r="113" spans="1:22" x14ac:dyDescent="0.2">
      <c r="A113" s="628">
        <v>21</v>
      </c>
      <c r="B113" s="632" t="s">
        <v>135</v>
      </c>
      <c r="C113" s="632"/>
      <c r="D113" s="631">
        <f>Assumptions!D81</f>
        <v>454.25200000000001</v>
      </c>
      <c r="E113" s="632">
        <v>3</v>
      </c>
      <c r="F113" s="361">
        <v>1</v>
      </c>
      <c r="G113" s="362">
        <v>44831</v>
      </c>
      <c r="H113" s="431">
        <v>-32.587829999999997</v>
      </c>
      <c r="I113" s="431">
        <v>24.441379999999999</v>
      </c>
      <c r="J113" s="435">
        <v>30</v>
      </c>
      <c r="K113" s="347">
        <v>3.3</v>
      </c>
      <c r="L113" s="348">
        <v>1.5</v>
      </c>
      <c r="M113" s="349">
        <v>0</v>
      </c>
      <c r="N113" s="350">
        <f t="shared" si="6"/>
        <v>14.849999999999998</v>
      </c>
      <c r="O113" s="217"/>
      <c r="Q113" s="216"/>
      <c r="R113" s="218"/>
      <c r="S113" s="218"/>
      <c r="T113" s="218"/>
    </row>
    <row r="114" spans="1:22" x14ac:dyDescent="0.2">
      <c r="A114" s="609"/>
      <c r="B114" s="618" t="s">
        <v>135</v>
      </c>
      <c r="C114" s="618"/>
      <c r="D114" s="625"/>
      <c r="E114" s="618"/>
      <c r="F114" s="327">
        <v>2</v>
      </c>
      <c r="G114" s="336">
        <v>44831</v>
      </c>
      <c r="H114" s="387">
        <v>-32.652000000000001</v>
      </c>
      <c r="I114" s="387">
        <v>24.41602</v>
      </c>
      <c r="J114" s="45">
        <v>30</v>
      </c>
      <c r="K114" s="355">
        <v>10.1</v>
      </c>
      <c r="L114" s="338">
        <v>1.5</v>
      </c>
      <c r="M114" s="88">
        <v>32.1</v>
      </c>
      <c r="N114" s="339">
        <f t="shared" si="6"/>
        <v>30.860550000000003</v>
      </c>
      <c r="O114" s="223"/>
      <c r="Q114" s="216"/>
      <c r="R114" s="216"/>
      <c r="S114" s="216"/>
      <c r="T114" s="216"/>
    </row>
    <row r="115" spans="1:22" ht="16" thickBot="1" x14ac:dyDescent="0.25">
      <c r="A115" s="610"/>
      <c r="B115" s="619" t="s">
        <v>135</v>
      </c>
      <c r="C115" s="619"/>
      <c r="D115" s="636"/>
      <c r="E115" s="619"/>
      <c r="F115" s="328">
        <v>3</v>
      </c>
      <c r="G115" s="340">
        <v>44908</v>
      </c>
      <c r="H115" s="396">
        <v>-31.887280000000001</v>
      </c>
      <c r="I115" s="396">
        <v>24.724499999999999</v>
      </c>
      <c r="J115" s="343">
        <v>30</v>
      </c>
      <c r="K115" s="360">
        <v>3.1</v>
      </c>
      <c r="L115" s="342">
        <v>1.5</v>
      </c>
      <c r="M115" s="344">
        <v>3.3</v>
      </c>
      <c r="N115" s="345">
        <f t="shared" si="6"/>
        <v>13.489650000000001</v>
      </c>
      <c r="O115" s="223"/>
      <c r="Q115" s="216"/>
      <c r="R115" s="216"/>
      <c r="S115" s="216"/>
      <c r="T115" s="216"/>
    </row>
    <row r="116" spans="1:22" ht="15" customHeight="1" x14ac:dyDescent="0.2">
      <c r="A116" s="655">
        <v>22</v>
      </c>
      <c r="B116" s="658" t="s">
        <v>134</v>
      </c>
      <c r="C116" s="661"/>
      <c r="D116" s="664">
        <f>Assumptions!D82</f>
        <v>18064.454000000005</v>
      </c>
      <c r="E116" s="667">
        <v>18</v>
      </c>
      <c r="F116" s="429">
        <v>1</v>
      </c>
      <c r="G116" s="430">
        <v>44755</v>
      </c>
      <c r="H116" s="431">
        <v>-28.507757000000002</v>
      </c>
      <c r="I116" s="431">
        <v>29.637820000000001</v>
      </c>
      <c r="J116" s="432">
        <v>50</v>
      </c>
      <c r="K116" s="433">
        <v>3.6</v>
      </c>
      <c r="L116" s="209">
        <v>1.3</v>
      </c>
      <c r="M116" s="209">
        <v>60.1</v>
      </c>
      <c r="N116" s="452">
        <f>K116*L116*J116*(1-M116%)*0.1</f>
        <v>9.3366000000000025</v>
      </c>
      <c r="O116" s="217"/>
      <c r="P116" s="48"/>
      <c r="Q116" s="216"/>
      <c r="R116" s="218"/>
      <c r="S116" s="218"/>
      <c r="T116" s="218"/>
      <c r="U116" s="48"/>
      <c r="V116" s="11"/>
    </row>
    <row r="117" spans="1:22" x14ac:dyDescent="0.2">
      <c r="A117" s="656"/>
      <c r="B117" s="659"/>
      <c r="C117" s="662"/>
      <c r="D117" s="665"/>
      <c r="E117" s="668"/>
      <c r="F117" s="399">
        <v>2</v>
      </c>
      <c r="G117" s="402">
        <v>44755</v>
      </c>
      <c r="H117" s="387">
        <v>-28.506551000000002</v>
      </c>
      <c r="I117" s="387">
        <v>29.654060000000001</v>
      </c>
      <c r="J117" s="45">
        <v>35</v>
      </c>
      <c r="K117" s="355">
        <v>5.6</v>
      </c>
      <c r="L117" s="338">
        <v>1.4</v>
      </c>
      <c r="M117" s="338">
        <v>64.400000000000006</v>
      </c>
      <c r="N117" s="418">
        <f t="shared" si="6"/>
        <v>9.7686399999999995</v>
      </c>
      <c r="O117" s="223"/>
      <c r="P117" s="48"/>
      <c r="Q117" s="216"/>
      <c r="R117" s="216"/>
      <c r="S117" s="216"/>
      <c r="T117" s="216"/>
      <c r="U117" s="48"/>
      <c r="V117" s="11"/>
    </row>
    <row r="118" spans="1:22" x14ac:dyDescent="0.2">
      <c r="A118" s="656"/>
      <c r="B118" s="659"/>
      <c r="C118" s="662"/>
      <c r="D118" s="665"/>
      <c r="E118" s="668"/>
      <c r="F118" s="399">
        <v>3</v>
      </c>
      <c r="G118" s="402">
        <v>44755</v>
      </c>
      <c r="H118" s="387">
        <v>-28.525418999999999</v>
      </c>
      <c r="I118" s="387">
        <v>29.662649999999999</v>
      </c>
      <c r="J118" s="45">
        <v>30</v>
      </c>
      <c r="K118" s="355">
        <v>7.7</v>
      </c>
      <c r="L118" s="338">
        <v>1.4</v>
      </c>
      <c r="M118" s="338">
        <v>16.3</v>
      </c>
      <c r="N118" s="418">
        <f t="shared" si="6"/>
        <v>27.068579999999997</v>
      </c>
      <c r="O118" s="223"/>
      <c r="P118" s="48"/>
      <c r="Q118" s="216"/>
      <c r="R118" s="216"/>
      <c r="S118" s="216"/>
      <c r="T118" s="216"/>
      <c r="U118" s="48"/>
      <c r="V118" s="11"/>
    </row>
    <row r="119" spans="1:22" x14ac:dyDescent="0.2">
      <c r="A119" s="656"/>
      <c r="B119" s="659"/>
      <c r="C119" s="662"/>
      <c r="D119" s="665"/>
      <c r="E119" s="668"/>
      <c r="F119" s="399">
        <v>4</v>
      </c>
      <c r="G119" s="402">
        <v>44755</v>
      </c>
      <c r="H119" s="387">
        <v>-28.516397999999999</v>
      </c>
      <c r="I119" s="387">
        <v>29.65973</v>
      </c>
      <c r="J119" s="45">
        <v>30</v>
      </c>
      <c r="K119" s="355">
        <v>4.9000000000000004</v>
      </c>
      <c r="L119" s="338">
        <v>1.4</v>
      </c>
      <c r="M119" s="338">
        <v>53.4</v>
      </c>
      <c r="N119" s="418">
        <f t="shared" si="6"/>
        <v>9.5902799999999999</v>
      </c>
      <c r="O119" s="223"/>
      <c r="P119" s="48"/>
      <c r="Q119" s="216"/>
      <c r="R119" s="216"/>
      <c r="S119" s="216"/>
      <c r="T119" s="216"/>
      <c r="U119" s="48"/>
      <c r="V119" s="11"/>
    </row>
    <row r="120" spans="1:22" x14ac:dyDescent="0.2">
      <c r="A120" s="656"/>
      <c r="B120" s="659"/>
      <c r="C120" s="662"/>
      <c r="D120" s="665"/>
      <c r="E120" s="668"/>
      <c r="F120" s="399">
        <v>5</v>
      </c>
      <c r="G120" s="402">
        <v>44755</v>
      </c>
      <c r="H120" s="387">
        <v>-28.517198</v>
      </c>
      <c r="I120" s="387">
        <v>29.667729999999999</v>
      </c>
      <c r="J120" s="390">
        <v>30</v>
      </c>
      <c r="K120" s="40">
        <v>14.2</v>
      </c>
      <c r="L120" s="38">
        <v>1.2</v>
      </c>
      <c r="M120" s="38">
        <v>57.8</v>
      </c>
      <c r="N120" s="418">
        <f t="shared" si="6"/>
        <v>21.572640000000003</v>
      </c>
      <c r="O120" s="223"/>
      <c r="P120" s="48"/>
      <c r="Q120" s="216"/>
      <c r="R120" s="216"/>
      <c r="S120" s="216"/>
      <c r="T120" s="216"/>
      <c r="U120" s="48"/>
      <c r="V120" s="11"/>
    </row>
    <row r="121" spans="1:22" x14ac:dyDescent="0.2">
      <c r="A121" s="656"/>
      <c r="B121" s="659"/>
      <c r="C121" s="662"/>
      <c r="D121" s="665"/>
      <c r="E121" s="668"/>
      <c r="F121" s="399">
        <v>6</v>
      </c>
      <c r="G121" s="402">
        <v>44755</v>
      </c>
      <c r="H121" s="387">
        <v>-28.507351</v>
      </c>
      <c r="I121" s="387">
        <v>29.66206</v>
      </c>
      <c r="J121" s="390">
        <v>30</v>
      </c>
      <c r="K121" s="40">
        <v>10.6</v>
      </c>
      <c r="L121" s="38">
        <v>1.4</v>
      </c>
      <c r="M121" s="38">
        <v>44.3</v>
      </c>
      <c r="N121" s="418">
        <f t="shared" si="6"/>
        <v>24.797640000000001</v>
      </c>
      <c r="O121" s="223"/>
      <c r="P121" s="48"/>
      <c r="Q121" s="216"/>
      <c r="R121" s="216"/>
      <c r="S121" s="216"/>
      <c r="T121" s="216"/>
      <c r="U121" s="48"/>
      <c r="V121" s="11"/>
    </row>
    <row r="122" spans="1:22" x14ac:dyDescent="0.2">
      <c r="A122" s="656"/>
      <c r="B122" s="659"/>
      <c r="C122" s="662"/>
      <c r="D122" s="665"/>
      <c r="E122" s="668"/>
      <c r="F122" s="399">
        <v>7</v>
      </c>
      <c r="G122" s="402">
        <v>44755</v>
      </c>
      <c r="H122" s="387">
        <v>-28.511578</v>
      </c>
      <c r="I122" s="387">
        <v>29.640619999999998</v>
      </c>
      <c r="J122" s="45">
        <v>110</v>
      </c>
      <c r="K122" s="355">
        <v>12.7</v>
      </c>
      <c r="L122" s="338">
        <v>1.2</v>
      </c>
      <c r="M122" s="338">
        <v>7.4</v>
      </c>
      <c r="N122" s="418">
        <f t="shared" si="6"/>
        <v>155.23463999999998</v>
      </c>
      <c r="O122" s="223"/>
      <c r="P122" s="48"/>
      <c r="Q122" s="216"/>
      <c r="R122" s="216"/>
      <c r="S122" s="216"/>
      <c r="T122" s="216"/>
      <c r="U122" s="48"/>
      <c r="V122" s="11"/>
    </row>
    <row r="123" spans="1:22" x14ac:dyDescent="0.2">
      <c r="A123" s="656"/>
      <c r="B123" s="659"/>
      <c r="C123" s="662"/>
      <c r="D123" s="665"/>
      <c r="E123" s="668"/>
      <c r="F123" s="399">
        <v>8</v>
      </c>
      <c r="G123" s="402">
        <v>44797</v>
      </c>
      <c r="H123" s="387">
        <v>-28.51932</v>
      </c>
      <c r="I123" s="387">
        <v>29.699629999999999</v>
      </c>
      <c r="J123" s="45">
        <v>30</v>
      </c>
      <c r="K123" s="355">
        <v>8.1</v>
      </c>
      <c r="L123" s="338">
        <v>1.4</v>
      </c>
      <c r="M123" s="338">
        <v>18.100000000000001</v>
      </c>
      <c r="N123" s="418">
        <f t="shared" si="6"/>
        <v>27.862379999999991</v>
      </c>
      <c r="O123" s="223"/>
      <c r="P123" s="48"/>
      <c r="Q123" s="216"/>
      <c r="R123" s="216"/>
      <c r="S123" s="216"/>
      <c r="T123" s="216"/>
      <c r="U123" s="48"/>
      <c r="V123" s="11"/>
    </row>
    <row r="124" spans="1:22" x14ac:dyDescent="0.2">
      <c r="A124" s="656"/>
      <c r="B124" s="659"/>
      <c r="C124" s="662"/>
      <c r="D124" s="665"/>
      <c r="E124" s="668"/>
      <c r="F124" s="399">
        <v>9</v>
      </c>
      <c r="G124" s="402">
        <v>44797</v>
      </c>
      <c r="H124" s="387">
        <v>-28.508557</v>
      </c>
      <c r="I124" s="387">
        <v>29.645820000000001</v>
      </c>
      <c r="J124" s="390">
        <v>40</v>
      </c>
      <c r="K124" s="40">
        <v>2.2000000000000002</v>
      </c>
      <c r="L124" s="38">
        <v>1.4</v>
      </c>
      <c r="M124" s="38">
        <v>17.100000000000001</v>
      </c>
      <c r="N124" s="418">
        <f t="shared" si="6"/>
        <v>10.213280000000001</v>
      </c>
      <c r="O124" s="223"/>
      <c r="P124" s="48"/>
      <c r="Q124" s="216"/>
      <c r="R124" s="216"/>
      <c r="S124" s="216"/>
      <c r="T124" s="216"/>
      <c r="U124" s="48"/>
      <c r="V124" s="11"/>
    </row>
    <row r="125" spans="1:22" x14ac:dyDescent="0.2">
      <c r="A125" s="656"/>
      <c r="B125" s="659"/>
      <c r="C125" s="662"/>
      <c r="D125" s="665"/>
      <c r="E125" s="668"/>
      <c r="F125" s="399">
        <v>10</v>
      </c>
      <c r="G125" s="402">
        <v>44797</v>
      </c>
      <c r="H125" s="387">
        <v>-28.5047</v>
      </c>
      <c r="I125" s="387">
        <v>29.668530000000001</v>
      </c>
      <c r="J125" s="45">
        <v>30</v>
      </c>
      <c r="K125" s="355">
        <v>8.1</v>
      </c>
      <c r="L125" s="338">
        <v>1.1000000000000001</v>
      </c>
      <c r="M125" s="338">
        <v>1</v>
      </c>
      <c r="N125" s="418">
        <f t="shared" si="6"/>
        <v>26.462700000000002</v>
      </c>
      <c r="O125" s="223"/>
      <c r="P125" s="48"/>
      <c r="Q125" s="216"/>
      <c r="R125" s="216"/>
      <c r="S125" s="216"/>
      <c r="T125" s="216"/>
      <c r="U125" s="48"/>
      <c r="V125" s="11"/>
    </row>
    <row r="126" spans="1:22" x14ac:dyDescent="0.2">
      <c r="A126" s="656"/>
      <c r="B126" s="659"/>
      <c r="C126" s="662"/>
      <c r="D126" s="665"/>
      <c r="E126" s="668"/>
      <c r="F126" s="399">
        <v>11</v>
      </c>
      <c r="G126" s="402">
        <v>44797</v>
      </c>
      <c r="H126" s="387">
        <v>-28.515350000000002</v>
      </c>
      <c r="I126" s="387">
        <v>29.670059999999999</v>
      </c>
      <c r="J126" s="390">
        <v>40</v>
      </c>
      <c r="K126" s="40">
        <v>5.6</v>
      </c>
      <c r="L126" s="38">
        <v>1.4</v>
      </c>
      <c r="M126" s="38">
        <v>70.099999999999994</v>
      </c>
      <c r="N126" s="418">
        <f t="shared" si="6"/>
        <v>9.3766400000000001</v>
      </c>
      <c r="O126" s="223"/>
      <c r="P126" s="48"/>
      <c r="Q126" s="216"/>
      <c r="R126" s="216"/>
      <c r="S126" s="216"/>
      <c r="T126" s="216"/>
      <c r="U126" s="48"/>
      <c r="V126" s="11"/>
    </row>
    <row r="127" spans="1:22" x14ac:dyDescent="0.2">
      <c r="A127" s="656"/>
      <c r="B127" s="659"/>
      <c r="C127" s="662"/>
      <c r="D127" s="665"/>
      <c r="E127" s="668"/>
      <c r="F127" s="399">
        <v>12</v>
      </c>
      <c r="G127" s="402">
        <v>44797</v>
      </c>
      <c r="H127" s="387">
        <v>-28.498010000000001</v>
      </c>
      <c r="I127" s="387">
        <v>29.663720000000001</v>
      </c>
      <c r="J127" s="45">
        <v>30</v>
      </c>
      <c r="K127" s="355">
        <v>7.5</v>
      </c>
      <c r="L127" s="338">
        <v>1.4</v>
      </c>
      <c r="M127" s="338">
        <v>7.3</v>
      </c>
      <c r="N127" s="418">
        <f t="shared" si="6"/>
        <v>29.200500000000002</v>
      </c>
      <c r="O127" s="223"/>
      <c r="P127" s="48"/>
      <c r="Q127" s="216"/>
      <c r="R127" s="216"/>
      <c r="S127" s="216"/>
      <c r="T127" s="216"/>
      <c r="U127" s="48"/>
      <c r="V127" s="11"/>
    </row>
    <row r="128" spans="1:22" x14ac:dyDescent="0.2">
      <c r="A128" s="656"/>
      <c r="B128" s="659"/>
      <c r="C128" s="662"/>
      <c r="D128" s="665"/>
      <c r="E128" s="668"/>
      <c r="F128" s="399">
        <v>13</v>
      </c>
      <c r="G128" s="402">
        <v>44797</v>
      </c>
      <c r="H128" s="387">
        <v>-28.509550000000001</v>
      </c>
      <c r="I128" s="387">
        <v>29.71189</v>
      </c>
      <c r="J128" s="45">
        <v>30</v>
      </c>
      <c r="K128" s="355">
        <v>6.4</v>
      </c>
      <c r="L128" s="338">
        <v>1.4</v>
      </c>
      <c r="M128" s="338">
        <v>1.1000000000000001</v>
      </c>
      <c r="N128" s="418">
        <f t="shared" si="6"/>
        <v>26.584319999999998</v>
      </c>
      <c r="O128" s="223"/>
      <c r="P128" s="48"/>
      <c r="Q128" s="216"/>
      <c r="R128" s="216"/>
      <c r="S128" s="216"/>
      <c r="T128" s="216"/>
      <c r="U128" s="48"/>
      <c r="V128" s="11"/>
    </row>
    <row r="129" spans="1:22" x14ac:dyDescent="0.2">
      <c r="A129" s="656"/>
      <c r="B129" s="659"/>
      <c r="C129" s="662"/>
      <c r="D129" s="665"/>
      <c r="E129" s="668"/>
      <c r="F129" s="399">
        <v>14</v>
      </c>
      <c r="G129" s="402">
        <v>44797</v>
      </c>
      <c r="H129" s="387">
        <v>-28.506281000000001</v>
      </c>
      <c r="I129" s="387">
        <v>29.63327</v>
      </c>
      <c r="J129" s="45">
        <v>30</v>
      </c>
      <c r="K129" s="355">
        <v>9.1999999999999993</v>
      </c>
      <c r="L129" s="338">
        <v>1.4</v>
      </c>
      <c r="M129" s="338">
        <v>37.6</v>
      </c>
      <c r="N129" s="418">
        <f t="shared" si="6"/>
        <v>24.111360000000001</v>
      </c>
      <c r="O129" s="223"/>
      <c r="P129" s="48"/>
      <c r="Q129" s="216"/>
      <c r="R129" s="216"/>
      <c r="S129" s="216"/>
      <c r="T129" s="216"/>
      <c r="U129" s="48"/>
      <c r="V129" s="11"/>
    </row>
    <row r="130" spans="1:22" x14ac:dyDescent="0.2">
      <c r="A130" s="656"/>
      <c r="B130" s="659"/>
      <c r="C130" s="662"/>
      <c r="D130" s="665"/>
      <c r="E130" s="668"/>
      <c r="F130" s="399">
        <v>15</v>
      </c>
      <c r="G130" s="402">
        <v>44797</v>
      </c>
      <c r="H130" s="387">
        <v>-28.506551000000002</v>
      </c>
      <c r="I130" s="387">
        <v>29.654060000000001</v>
      </c>
      <c r="J130" s="390">
        <v>60</v>
      </c>
      <c r="K130" s="40">
        <v>5.6</v>
      </c>
      <c r="L130" s="38">
        <v>1.4</v>
      </c>
      <c r="M130" s="38">
        <v>70.099999999999994</v>
      </c>
      <c r="N130" s="418">
        <f t="shared" si="6"/>
        <v>14.064959999999999</v>
      </c>
      <c r="O130" s="223"/>
      <c r="P130" s="48"/>
      <c r="Q130" s="216"/>
      <c r="R130" s="216"/>
      <c r="S130" s="216"/>
      <c r="T130" s="216"/>
      <c r="U130" s="48"/>
      <c r="V130" s="11"/>
    </row>
    <row r="131" spans="1:22" x14ac:dyDescent="0.2">
      <c r="A131" s="656"/>
      <c r="B131" s="659"/>
      <c r="C131" s="662"/>
      <c r="D131" s="665"/>
      <c r="E131" s="668"/>
      <c r="F131" s="399">
        <v>16</v>
      </c>
      <c r="G131" s="402">
        <v>44797</v>
      </c>
      <c r="H131" s="387">
        <v>-28.507080999999999</v>
      </c>
      <c r="I131" s="387">
        <v>29.644269999999999</v>
      </c>
      <c r="J131" s="390">
        <v>30</v>
      </c>
      <c r="K131" s="40">
        <v>9.1999999999999993</v>
      </c>
      <c r="L131" s="38">
        <v>1.4</v>
      </c>
      <c r="M131" s="38">
        <v>37.6</v>
      </c>
      <c r="N131" s="418">
        <f t="shared" si="6"/>
        <v>24.111360000000001</v>
      </c>
      <c r="O131" s="223"/>
      <c r="P131" s="48"/>
      <c r="Q131" s="216"/>
      <c r="R131" s="216"/>
      <c r="S131" s="216"/>
      <c r="T131" s="216"/>
      <c r="U131" s="48"/>
      <c r="V131" s="11"/>
    </row>
    <row r="132" spans="1:22" x14ac:dyDescent="0.2">
      <c r="A132" s="656"/>
      <c r="B132" s="659"/>
      <c r="C132" s="662"/>
      <c r="D132" s="665"/>
      <c r="E132" s="668"/>
      <c r="F132" s="399">
        <v>17</v>
      </c>
      <c r="G132" s="402">
        <v>44901</v>
      </c>
      <c r="H132" s="387">
        <v>-28.507480000000001</v>
      </c>
      <c r="I132" s="387">
        <v>29.654769999999999</v>
      </c>
      <c r="J132" s="45">
        <v>110</v>
      </c>
      <c r="K132" s="355">
        <v>4.9000000000000004</v>
      </c>
      <c r="L132" s="338">
        <v>1.4</v>
      </c>
      <c r="M132" s="338">
        <v>80.599999999999994</v>
      </c>
      <c r="N132" s="418">
        <f t="shared" si="6"/>
        <v>14.639240000000004</v>
      </c>
      <c r="O132" s="223"/>
      <c r="P132" s="48"/>
      <c r="Q132" s="216"/>
      <c r="R132" s="216"/>
      <c r="S132" s="216"/>
      <c r="T132" s="216"/>
      <c r="U132" s="48"/>
      <c r="V132" s="11"/>
    </row>
    <row r="133" spans="1:22" ht="16" thickBot="1" x14ac:dyDescent="0.25">
      <c r="A133" s="657"/>
      <c r="B133" s="660"/>
      <c r="C133" s="663"/>
      <c r="D133" s="666"/>
      <c r="E133" s="669"/>
      <c r="F133" s="403">
        <v>18</v>
      </c>
      <c r="G133" s="424">
        <v>44901</v>
      </c>
      <c r="H133" s="396">
        <v>-28.510549999999999</v>
      </c>
      <c r="I133" s="396">
        <v>29.719889999999999</v>
      </c>
      <c r="J133" s="425">
        <v>30</v>
      </c>
      <c r="K133" s="426">
        <v>10</v>
      </c>
      <c r="L133" s="427">
        <v>1.2</v>
      </c>
      <c r="M133" s="427">
        <v>1.4</v>
      </c>
      <c r="N133" s="453">
        <f t="shared" si="6"/>
        <v>35.496000000000002</v>
      </c>
      <c r="O133" s="223"/>
      <c r="P133" s="48"/>
      <c r="Q133" s="216"/>
      <c r="R133" s="216"/>
      <c r="S133" s="216"/>
      <c r="T133" s="216"/>
      <c r="U133" s="48"/>
      <c r="V133" s="11"/>
    </row>
    <row r="134" spans="1:22" x14ac:dyDescent="0.2">
      <c r="B134" s="233"/>
      <c r="C134" s="234"/>
      <c r="D134" s="495"/>
      <c r="E134" s="233"/>
      <c r="F134" s="233"/>
      <c r="G134" s="233"/>
      <c r="H134" s="233"/>
      <c r="I134" s="233"/>
      <c r="J134" s="236"/>
      <c r="K134" s="233"/>
      <c r="L134" s="236"/>
    </row>
    <row r="135" spans="1:22" x14ac:dyDescent="0.2">
      <c r="B135" s="233"/>
      <c r="C135" s="234"/>
      <c r="D135" s="235"/>
      <c r="E135" s="233"/>
      <c r="F135" s="233"/>
      <c r="G135" s="233"/>
      <c r="H135" s="233"/>
      <c r="I135" s="233"/>
      <c r="J135" s="236"/>
      <c r="K135" s="233"/>
      <c r="L135" s="236"/>
    </row>
    <row r="136" spans="1:22" x14ac:dyDescent="0.2">
      <c r="B136" s="233"/>
      <c r="C136" s="233"/>
      <c r="D136" s="233"/>
      <c r="E136" s="233"/>
      <c r="F136" s="233"/>
      <c r="G136" s="233"/>
      <c r="H136" s="233"/>
      <c r="I136" s="233"/>
      <c r="J136" s="236"/>
      <c r="K136" s="233"/>
      <c r="L136" s="236"/>
    </row>
    <row r="137" spans="1:22" x14ac:dyDescent="0.2">
      <c r="B137" s="233"/>
      <c r="C137" s="233"/>
      <c r="D137" s="233"/>
      <c r="E137" s="233"/>
      <c r="F137" s="233"/>
      <c r="G137" s="233"/>
      <c r="H137" s="233"/>
      <c r="I137" s="233"/>
      <c r="J137" s="236"/>
      <c r="K137" s="233"/>
      <c r="L137" s="236"/>
    </row>
  </sheetData>
  <mergeCells count="112">
    <mergeCell ref="A116:A133"/>
    <mergeCell ref="B116:B133"/>
    <mergeCell ref="C116:C133"/>
    <mergeCell ref="D116:D133"/>
    <mergeCell ref="E116:E133"/>
    <mergeCell ref="A113:A115"/>
    <mergeCell ref="B113:B115"/>
    <mergeCell ref="C113:C115"/>
    <mergeCell ref="D113:D115"/>
    <mergeCell ref="E113:E115"/>
    <mergeCell ref="A110:A112"/>
    <mergeCell ref="B110:B112"/>
    <mergeCell ref="C110:C112"/>
    <mergeCell ref="D110:D112"/>
    <mergeCell ref="E110:E112"/>
    <mergeCell ref="A101:A109"/>
    <mergeCell ref="B101:B109"/>
    <mergeCell ref="C101:C109"/>
    <mergeCell ref="D101:D109"/>
    <mergeCell ref="E101:E109"/>
    <mergeCell ref="A98:A100"/>
    <mergeCell ref="B98:B100"/>
    <mergeCell ref="C98:C100"/>
    <mergeCell ref="D98:D100"/>
    <mergeCell ref="E98:E100"/>
    <mergeCell ref="A95:A97"/>
    <mergeCell ref="B95:B97"/>
    <mergeCell ref="C95:C97"/>
    <mergeCell ref="D95:D97"/>
    <mergeCell ref="E95:E97"/>
    <mergeCell ref="A86:A94"/>
    <mergeCell ref="B86:B94"/>
    <mergeCell ref="C86:C94"/>
    <mergeCell ref="D86:D94"/>
    <mergeCell ref="E86:E94"/>
    <mergeCell ref="A83:A85"/>
    <mergeCell ref="B83:B85"/>
    <mergeCell ref="C83:C85"/>
    <mergeCell ref="D83:D85"/>
    <mergeCell ref="E83:E85"/>
    <mergeCell ref="A77:A82"/>
    <mergeCell ref="B77:B82"/>
    <mergeCell ref="C77:C82"/>
    <mergeCell ref="D77:D82"/>
    <mergeCell ref="E77:E82"/>
    <mergeCell ref="A71:A76"/>
    <mergeCell ref="B71:B76"/>
    <mergeCell ref="C71:C76"/>
    <mergeCell ref="D71:D76"/>
    <mergeCell ref="E71:E76"/>
    <mergeCell ref="A68:A70"/>
    <mergeCell ref="B68:B70"/>
    <mergeCell ref="C68:C70"/>
    <mergeCell ref="D68:D70"/>
    <mergeCell ref="E68:E70"/>
    <mergeCell ref="A59:A67"/>
    <mergeCell ref="B59:B67"/>
    <mergeCell ref="C59:C67"/>
    <mergeCell ref="D59:D67"/>
    <mergeCell ref="E59:E67"/>
    <mergeCell ref="A56:A58"/>
    <mergeCell ref="B56:B58"/>
    <mergeCell ref="C56:C58"/>
    <mergeCell ref="D56:D58"/>
    <mergeCell ref="E56:E58"/>
    <mergeCell ref="A47:A55"/>
    <mergeCell ref="B47:B55"/>
    <mergeCell ref="C47:C55"/>
    <mergeCell ref="D47:D55"/>
    <mergeCell ref="E47:E55"/>
    <mergeCell ref="A44:A46"/>
    <mergeCell ref="B44:B46"/>
    <mergeCell ref="C44:C46"/>
    <mergeCell ref="D44:D46"/>
    <mergeCell ref="E44:E46"/>
    <mergeCell ref="A41:A43"/>
    <mergeCell ref="B41:B43"/>
    <mergeCell ref="C41:C43"/>
    <mergeCell ref="D41:D43"/>
    <mergeCell ref="E41:E43"/>
    <mergeCell ref="A35:A40"/>
    <mergeCell ref="B35:B40"/>
    <mergeCell ref="C35:C40"/>
    <mergeCell ref="D35:D40"/>
    <mergeCell ref="E35:E40"/>
    <mergeCell ref="A32:A34"/>
    <mergeCell ref="B32:B34"/>
    <mergeCell ref="C32:C34"/>
    <mergeCell ref="D32:D34"/>
    <mergeCell ref="E32:E34"/>
    <mergeCell ref="A29:A31"/>
    <mergeCell ref="B29:B31"/>
    <mergeCell ref="C29:C31"/>
    <mergeCell ref="D29:D31"/>
    <mergeCell ref="E29:E31"/>
    <mergeCell ref="A23:A28"/>
    <mergeCell ref="B23:B28"/>
    <mergeCell ref="C23:C28"/>
    <mergeCell ref="D23:D28"/>
    <mergeCell ref="E23:E28"/>
    <mergeCell ref="Z12:AB12"/>
    <mergeCell ref="A14:A22"/>
    <mergeCell ref="B14:B22"/>
    <mergeCell ref="C14:C22"/>
    <mergeCell ref="D14:D22"/>
    <mergeCell ref="E14:E22"/>
    <mergeCell ref="A1:F1"/>
    <mergeCell ref="A11:A13"/>
    <mergeCell ref="B11:B13"/>
    <mergeCell ref="C11:C13"/>
    <mergeCell ref="D11:D13"/>
    <mergeCell ref="E11:E1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7CEC7-B42B-7845-A669-A084D157CDDD}">
  <dimension ref="A1:AA137"/>
  <sheetViews>
    <sheetView zoomScale="90" zoomScaleNormal="90" workbookViewId="0">
      <selection activeCell="K137" sqref="K137"/>
    </sheetView>
  </sheetViews>
  <sheetFormatPr baseColWidth="10" defaultColWidth="8.83203125" defaultRowHeight="15" x14ac:dyDescent="0.2"/>
  <cols>
    <col min="1" max="1" width="7.5" style="214" customWidth="1"/>
    <col min="2" max="2" width="7.33203125" style="213" customWidth="1"/>
    <col min="3" max="3" width="18.83203125" style="455" customWidth="1"/>
    <col min="4" max="4" width="12.83203125" style="213" customWidth="1"/>
    <col min="5" max="5" width="17.33203125" style="213" customWidth="1"/>
    <col min="6" max="11" width="12.83203125" style="213" customWidth="1"/>
    <col min="12" max="14" width="16.6640625" style="213" customWidth="1"/>
    <col min="15" max="16" width="8.83203125" style="213"/>
    <col min="17" max="17" width="10.83203125" style="213" customWidth="1"/>
    <col min="18" max="18" width="8.83203125" style="213"/>
    <col min="19" max="19" width="9" style="213" customWidth="1"/>
    <col min="20" max="21" width="10.83203125" style="213" bestFit="1" customWidth="1"/>
    <col min="22" max="23" width="8.83203125" style="213"/>
    <col min="24" max="24" width="11" style="213" customWidth="1"/>
    <col min="25" max="25" width="15.33203125" style="213" customWidth="1"/>
    <col min="26" max="26" width="8.83203125" style="213"/>
    <col min="27" max="27" width="9.6640625" style="213" bestFit="1" customWidth="1"/>
    <col min="28" max="16384" width="8.83203125" style="213"/>
  </cols>
  <sheetData>
    <row r="1" spans="1:27" x14ac:dyDescent="0.2">
      <c r="A1" s="577" t="s">
        <v>415</v>
      </c>
      <c r="B1" s="577"/>
      <c r="C1" s="577"/>
      <c r="D1" s="577"/>
      <c r="E1" s="577"/>
      <c r="F1" s="577"/>
      <c r="G1" s="577"/>
      <c r="H1" s="577"/>
      <c r="I1" s="577"/>
      <c r="J1" s="577"/>
      <c r="K1" s="577"/>
    </row>
    <row r="2" spans="1:27" x14ac:dyDescent="0.2">
      <c r="A2" s="108" t="s">
        <v>416</v>
      </c>
      <c r="B2" s="108"/>
      <c r="C2" s="454">
        <v>2710</v>
      </c>
      <c r="D2" s="324"/>
      <c r="E2" s="324"/>
      <c r="F2" s="324"/>
      <c r="G2" s="324"/>
      <c r="H2" s="324"/>
      <c r="I2" s="324"/>
      <c r="J2" s="324"/>
      <c r="K2" s="324"/>
    </row>
    <row r="3" spans="1:27" x14ac:dyDescent="0.2">
      <c r="A3" s="108" t="s">
        <v>417</v>
      </c>
      <c r="B3" s="108"/>
      <c r="C3" s="454">
        <v>6</v>
      </c>
      <c r="D3" s="324"/>
      <c r="E3" s="324"/>
      <c r="F3" s="324"/>
      <c r="G3" s="324"/>
      <c r="H3" s="324"/>
      <c r="I3" s="324"/>
      <c r="J3" s="324"/>
      <c r="K3" s="324"/>
    </row>
    <row r="6" spans="1:27" ht="20.5" customHeight="1" x14ac:dyDescent="0.2"/>
    <row r="8" spans="1:27" ht="78" customHeight="1" x14ac:dyDescent="0.2">
      <c r="A8" s="273" t="s">
        <v>115</v>
      </c>
      <c r="B8" s="273" t="s">
        <v>33</v>
      </c>
      <c r="C8" s="456" t="s">
        <v>136</v>
      </c>
      <c r="D8" s="275" t="s">
        <v>138</v>
      </c>
      <c r="E8" s="275" t="s">
        <v>139</v>
      </c>
      <c r="F8" s="274"/>
      <c r="G8" s="274"/>
      <c r="H8" s="275" t="s">
        <v>623</v>
      </c>
      <c r="I8" s="275" t="s">
        <v>143</v>
      </c>
      <c r="J8" s="275" t="s">
        <v>685</v>
      </c>
      <c r="K8" s="275" t="s">
        <v>141</v>
      </c>
      <c r="L8" s="215"/>
      <c r="M8" s="670"/>
      <c r="N8" s="215"/>
      <c r="P8" s="266" t="s">
        <v>468</v>
      </c>
      <c r="Q8" s="268" t="s">
        <v>629</v>
      </c>
      <c r="R8" s="268" t="s">
        <v>630</v>
      </c>
      <c r="S8" s="57" t="s">
        <v>675</v>
      </c>
      <c r="T8" s="57" t="s">
        <v>683</v>
      </c>
      <c r="U8" s="57" t="s">
        <v>684</v>
      </c>
      <c r="V8" s="259"/>
      <c r="W8" s="259"/>
      <c r="X8" s="215"/>
      <c r="Y8" s="259"/>
    </row>
    <row r="9" spans="1:27" ht="23" customHeight="1" x14ac:dyDescent="0.2">
      <c r="A9" s="273"/>
      <c r="B9" s="273"/>
      <c r="C9" s="457"/>
      <c r="D9" s="272" t="s">
        <v>620</v>
      </c>
      <c r="E9" s="272" t="s">
        <v>624</v>
      </c>
      <c r="F9" s="276"/>
      <c r="G9" s="276"/>
      <c r="H9" s="272" t="s">
        <v>624</v>
      </c>
      <c r="I9" s="276" t="s">
        <v>144</v>
      </c>
      <c r="J9" s="276" t="s">
        <v>140</v>
      </c>
      <c r="K9" s="276" t="s">
        <v>686</v>
      </c>
      <c r="L9" s="127"/>
      <c r="M9" s="670"/>
      <c r="N9" s="215"/>
      <c r="P9" s="269">
        <v>1</v>
      </c>
      <c r="Q9" s="270">
        <v>43286</v>
      </c>
      <c r="R9" s="270">
        <v>43465</v>
      </c>
      <c r="S9" s="5">
        <f t="shared" ref="S9:S30" si="0">(R9-Q9)+1</f>
        <v>180</v>
      </c>
      <c r="T9" s="267">
        <f t="shared" ref="T9:T30" si="1">S9/365</f>
        <v>0.49315068493150682</v>
      </c>
      <c r="U9" s="267">
        <f t="shared" ref="U9:U30" si="2">4+T9</f>
        <v>4.493150684931507</v>
      </c>
      <c r="V9" s="2"/>
      <c r="W9" s="2"/>
      <c r="X9" s="229"/>
      <c r="Y9" s="2"/>
    </row>
    <row r="10" spans="1:27" ht="25" customHeight="1" thickBot="1" x14ac:dyDescent="0.25">
      <c r="A10" s="282"/>
      <c r="B10" s="282"/>
      <c r="C10" s="458"/>
      <c r="D10" s="283" t="s">
        <v>137</v>
      </c>
      <c r="E10" s="283" t="s">
        <v>626</v>
      </c>
      <c r="F10" s="283"/>
      <c r="G10" s="283"/>
      <c r="H10" s="283" t="s">
        <v>626</v>
      </c>
      <c r="I10" s="283"/>
      <c r="J10" s="283"/>
      <c r="K10" s="283"/>
      <c r="L10" s="127"/>
      <c r="M10" s="220"/>
      <c r="N10" s="221"/>
      <c r="P10" s="269">
        <v>2</v>
      </c>
      <c r="Q10" s="270">
        <v>43304</v>
      </c>
      <c r="R10" s="270">
        <v>43465</v>
      </c>
      <c r="S10" s="5">
        <f t="shared" si="0"/>
        <v>162</v>
      </c>
      <c r="T10" s="267">
        <f t="shared" si="1"/>
        <v>0.44383561643835617</v>
      </c>
      <c r="U10" s="267">
        <f t="shared" si="2"/>
        <v>4.4438356164383563</v>
      </c>
      <c r="V10" s="2"/>
      <c r="W10" s="2"/>
      <c r="X10" s="2"/>
      <c r="Y10" s="2"/>
    </row>
    <row r="11" spans="1:27" ht="15" customHeight="1" x14ac:dyDescent="0.2">
      <c r="A11" s="608">
        <v>1</v>
      </c>
      <c r="B11" s="671">
        <f>Assumptions!D61</f>
        <v>183.761</v>
      </c>
      <c r="C11" s="459">
        <f>'soil analysis data_Project'!N11</f>
        <v>21.060000000000002</v>
      </c>
      <c r="D11" s="284">
        <f>'Soil data_baseline'!$G$28</f>
        <v>8.5040675999999991</v>
      </c>
      <c r="E11" s="284">
        <f>C11-D11</f>
        <v>12.555932400000003</v>
      </c>
      <c r="F11" s="285" t="s">
        <v>627</v>
      </c>
      <c r="G11" s="286">
        <f>ROUND(AVERAGE(E11:E13),2)</f>
        <v>9.3800000000000008</v>
      </c>
      <c r="H11" s="287">
        <f>G11-1.96*G13</f>
        <v>1.236739392881006</v>
      </c>
      <c r="I11" s="287">
        <f>U9</f>
        <v>4.493150684931507</v>
      </c>
      <c r="J11" s="287">
        <f>H11*B11</f>
        <v>227.26446757520654</v>
      </c>
      <c r="K11" s="288">
        <f>(J11/I11)*44/12</f>
        <v>185.46073929155571</v>
      </c>
      <c r="L11" s="217"/>
      <c r="M11" s="220"/>
      <c r="N11" s="221"/>
      <c r="O11" s="216"/>
      <c r="P11" s="269">
        <v>3</v>
      </c>
      <c r="Q11" s="271">
        <v>43296</v>
      </c>
      <c r="R11" s="270">
        <v>43465</v>
      </c>
      <c r="S11" s="5">
        <f t="shared" si="0"/>
        <v>170</v>
      </c>
      <c r="T11" s="267">
        <f t="shared" si="1"/>
        <v>0.46575342465753422</v>
      </c>
      <c r="U11" s="267">
        <f t="shared" si="2"/>
        <v>4.4657534246575343</v>
      </c>
      <c r="W11" s="219"/>
      <c r="X11" s="220"/>
    </row>
    <row r="12" spans="1:27" ht="16.25" customHeight="1" x14ac:dyDescent="0.2">
      <c r="A12" s="609"/>
      <c r="B12" s="672"/>
      <c r="C12" s="460">
        <f>'soil analysis data_Project'!N12</f>
        <v>7.9200000000000008</v>
      </c>
      <c r="D12" s="277">
        <f>'Soil data_baseline'!$G$28</f>
        <v>8.5040675999999991</v>
      </c>
      <c r="E12" s="277">
        <f t="shared" ref="E12:E75" si="3">C12-D12</f>
        <v>-0.58406759999999824</v>
      </c>
      <c r="F12" s="278" t="s">
        <v>628</v>
      </c>
      <c r="G12" s="279">
        <f>STDEVP(E11:E13)</f>
        <v>7.1961944442878973</v>
      </c>
      <c r="H12" s="279"/>
      <c r="I12" s="280"/>
      <c r="J12" s="280"/>
      <c r="K12" s="289"/>
      <c r="L12" s="217"/>
      <c r="M12" s="220"/>
      <c r="N12" s="221"/>
      <c r="O12" s="216"/>
      <c r="P12" s="269">
        <v>4</v>
      </c>
      <c r="Q12" s="270">
        <v>43293</v>
      </c>
      <c r="R12" s="270">
        <v>43465</v>
      </c>
      <c r="S12" s="5">
        <f t="shared" si="0"/>
        <v>173</v>
      </c>
      <c r="T12" s="267">
        <f t="shared" si="1"/>
        <v>0.47397260273972602</v>
      </c>
      <c r="U12" s="267">
        <f t="shared" si="2"/>
        <v>4.4739726027397264</v>
      </c>
      <c r="W12" s="2"/>
      <c r="X12" s="220"/>
      <c r="Y12" s="607"/>
      <c r="Z12" s="607"/>
      <c r="AA12" s="607"/>
    </row>
    <row r="13" spans="1:27" ht="15" customHeight="1" thickBot="1" x14ac:dyDescent="0.25">
      <c r="A13" s="610"/>
      <c r="B13" s="673"/>
      <c r="C13" s="461">
        <f>'soil analysis data_Project'!N13</f>
        <v>24.665400000000002</v>
      </c>
      <c r="D13" s="290">
        <f>'Soil data_baseline'!$G$28</f>
        <v>8.5040675999999991</v>
      </c>
      <c r="E13" s="290">
        <f t="shared" si="3"/>
        <v>16.161332400000003</v>
      </c>
      <c r="F13" s="291" t="s">
        <v>625</v>
      </c>
      <c r="G13" s="292">
        <f>G12/SQRT(COUNT(E11:E13))</f>
        <v>4.1547247995505074</v>
      </c>
      <c r="H13" s="298"/>
      <c r="I13" s="304"/>
      <c r="J13" s="304"/>
      <c r="K13" s="308"/>
      <c r="L13" s="217"/>
      <c r="M13" s="220"/>
      <c r="N13" s="221"/>
      <c r="O13" s="216"/>
      <c r="P13" s="269">
        <v>5</v>
      </c>
      <c r="Q13" s="270">
        <v>43282</v>
      </c>
      <c r="R13" s="270">
        <v>43465</v>
      </c>
      <c r="S13" s="5">
        <f t="shared" si="0"/>
        <v>184</v>
      </c>
      <c r="T13" s="267">
        <f t="shared" si="1"/>
        <v>0.50410958904109593</v>
      </c>
      <c r="U13" s="267">
        <f t="shared" si="2"/>
        <v>4.5041095890410956</v>
      </c>
      <c r="W13" s="219"/>
      <c r="X13" s="220"/>
      <c r="Y13" s="215"/>
      <c r="Z13" s="215"/>
      <c r="AA13" s="215"/>
    </row>
    <row r="14" spans="1:27" ht="15.5" customHeight="1" x14ac:dyDescent="0.2">
      <c r="A14" s="608">
        <v>2</v>
      </c>
      <c r="B14" s="682">
        <f>Assumptions!D62</f>
        <v>6772.8780000000015</v>
      </c>
      <c r="C14" s="459">
        <f>'soil analysis data_Project'!N14</f>
        <v>9.8783999999999992</v>
      </c>
      <c r="D14" s="284">
        <f>'Soil data_baseline'!$G$28</f>
        <v>8.5040675999999991</v>
      </c>
      <c r="E14" s="284">
        <f t="shared" si="3"/>
        <v>1.3743324000000001</v>
      </c>
      <c r="F14" s="285" t="s">
        <v>627</v>
      </c>
      <c r="G14" s="294">
        <f>ROUND(AVERAGE(E14:E22),2)</f>
        <v>32.5</v>
      </c>
      <c r="H14" s="302">
        <f>G14-1.96*G16</f>
        <v>3.1638129613638455</v>
      </c>
      <c r="I14" s="302">
        <f>U10</f>
        <v>4.4438356164383563</v>
      </c>
      <c r="J14" s="299">
        <f>H14*B14</f>
        <v>21428.119202136044</v>
      </c>
      <c r="K14" s="299">
        <f>(J14/I14)*44/12</f>
        <v>17680.620344549159</v>
      </c>
      <c r="L14" s="217"/>
      <c r="M14" s="220"/>
      <c r="N14" s="221"/>
      <c r="O14"/>
      <c r="P14" s="269">
        <v>6</v>
      </c>
      <c r="Q14" s="270">
        <v>43291</v>
      </c>
      <c r="R14" s="270">
        <v>43465</v>
      </c>
      <c r="S14" s="5">
        <f t="shared" si="0"/>
        <v>175</v>
      </c>
      <c r="T14" s="267">
        <f t="shared" si="1"/>
        <v>0.47945205479452052</v>
      </c>
      <c r="U14" s="267">
        <f t="shared" si="2"/>
        <v>4.4794520547945202</v>
      </c>
      <c r="V14" s="218"/>
      <c r="W14" s="2"/>
      <c r="X14" s="220"/>
      <c r="Y14" s="221"/>
      <c r="Z14" s="222"/>
      <c r="AA14" s="222"/>
    </row>
    <row r="15" spans="1:27" ht="14.5" customHeight="1" x14ac:dyDescent="0.2">
      <c r="A15" s="609"/>
      <c r="B15" s="683"/>
      <c r="C15" s="460">
        <f>'soil analysis data_Project'!N15</f>
        <v>156.3408</v>
      </c>
      <c r="D15" s="277">
        <f>'Soil data_baseline'!$G$28</f>
        <v>8.5040675999999991</v>
      </c>
      <c r="E15" s="277">
        <f t="shared" si="3"/>
        <v>147.83673240000002</v>
      </c>
      <c r="F15" s="278" t="s">
        <v>628</v>
      </c>
      <c r="G15" s="295">
        <f>STDEVP(E14:E22)</f>
        <v>44.902327099953297</v>
      </c>
      <c r="H15" s="303"/>
      <c r="I15" s="307"/>
      <c r="J15" s="305"/>
      <c r="K15" s="300"/>
      <c r="L15" s="223"/>
      <c r="M15" s="224"/>
      <c r="N15" s="221"/>
      <c r="O15"/>
      <c r="P15" s="269">
        <v>7</v>
      </c>
      <c r="Q15" s="270">
        <v>43297</v>
      </c>
      <c r="R15" s="270">
        <v>43465</v>
      </c>
      <c r="S15" s="5">
        <f t="shared" si="0"/>
        <v>169</v>
      </c>
      <c r="T15" s="267">
        <f t="shared" si="1"/>
        <v>0.46301369863013697</v>
      </c>
      <c r="U15" s="267">
        <f t="shared" si="2"/>
        <v>4.463013698630137</v>
      </c>
      <c r="V15" s="218"/>
      <c r="W15" s="219"/>
      <c r="X15" s="220"/>
      <c r="Y15" s="221"/>
      <c r="Z15" s="222"/>
      <c r="AA15" s="222"/>
    </row>
    <row r="16" spans="1:27" ht="14.5" customHeight="1" x14ac:dyDescent="0.2">
      <c r="A16" s="609"/>
      <c r="B16" s="683"/>
      <c r="C16" s="460">
        <f>'soil analysis data_Project'!N16</f>
        <v>27.774179999999998</v>
      </c>
      <c r="D16" s="277">
        <f>'Soil data_baseline'!$G$28</f>
        <v>8.5040675999999991</v>
      </c>
      <c r="E16" s="277">
        <f t="shared" si="3"/>
        <v>19.270112399999999</v>
      </c>
      <c r="F16" s="278" t="s">
        <v>625</v>
      </c>
      <c r="G16" s="295">
        <f>G15/SQRT(COUNT(E14:E22))</f>
        <v>14.967442366651099</v>
      </c>
      <c r="H16" s="303"/>
      <c r="I16" s="307"/>
      <c r="J16" s="305"/>
      <c r="K16" s="300"/>
      <c r="L16" s="223"/>
      <c r="M16" s="220"/>
      <c r="N16" s="221"/>
      <c r="O16"/>
      <c r="P16" s="269">
        <v>8</v>
      </c>
      <c r="Q16" s="270">
        <v>43296</v>
      </c>
      <c r="R16" s="270">
        <v>43465</v>
      </c>
      <c r="S16" s="5">
        <f t="shared" si="0"/>
        <v>170</v>
      </c>
      <c r="T16" s="267">
        <f t="shared" si="1"/>
        <v>0.46575342465753422</v>
      </c>
      <c r="U16" s="267">
        <f t="shared" si="2"/>
        <v>4.4657534246575343</v>
      </c>
      <c r="W16" s="2"/>
      <c r="X16" s="220"/>
      <c r="Y16" s="221"/>
      <c r="Z16" s="222"/>
      <c r="AA16" s="222"/>
    </row>
    <row r="17" spans="1:27" ht="14.5" customHeight="1" x14ac:dyDescent="0.2">
      <c r="A17" s="609"/>
      <c r="B17" s="683"/>
      <c r="C17" s="460">
        <f>'soil analysis data_Project'!N17</f>
        <v>19.079999999999998</v>
      </c>
      <c r="D17" s="277">
        <f>'Soil data_baseline'!$G$28</f>
        <v>8.5040675999999991</v>
      </c>
      <c r="E17" s="277">
        <f t="shared" si="3"/>
        <v>10.575932399999999</v>
      </c>
      <c r="F17" s="281"/>
      <c r="G17" s="296"/>
      <c r="H17" s="303"/>
      <c r="I17" s="307"/>
      <c r="J17" s="305"/>
      <c r="K17" s="300"/>
      <c r="L17" s="223"/>
      <c r="M17" s="220"/>
      <c r="N17" s="221"/>
      <c r="O17"/>
      <c r="P17" s="269">
        <v>9</v>
      </c>
      <c r="Q17" s="270">
        <v>43298</v>
      </c>
      <c r="R17" s="270">
        <v>43465</v>
      </c>
      <c r="S17" s="5">
        <f t="shared" si="0"/>
        <v>168</v>
      </c>
      <c r="T17" s="267">
        <f t="shared" si="1"/>
        <v>0.46027397260273972</v>
      </c>
      <c r="U17" s="267">
        <f t="shared" si="2"/>
        <v>4.4602739726027396</v>
      </c>
      <c r="W17" s="219"/>
      <c r="X17" s="220"/>
      <c r="Y17" s="221"/>
      <c r="Z17" s="222"/>
      <c r="AA17" s="222"/>
    </row>
    <row r="18" spans="1:27" ht="14.5" customHeight="1" x14ac:dyDescent="0.2">
      <c r="A18" s="609"/>
      <c r="B18" s="683"/>
      <c r="C18" s="460">
        <f>'soil analysis data_Project'!N18</f>
        <v>76.982400000000013</v>
      </c>
      <c r="D18" s="277">
        <f>'Soil data_baseline'!$G$28</f>
        <v>8.5040675999999991</v>
      </c>
      <c r="E18" s="277">
        <f t="shared" si="3"/>
        <v>68.478332400000014</v>
      </c>
      <c r="F18" s="281"/>
      <c r="G18" s="296"/>
      <c r="H18" s="303"/>
      <c r="I18" s="307"/>
      <c r="J18" s="305"/>
      <c r="K18" s="300"/>
      <c r="L18" s="223"/>
      <c r="M18" s="220"/>
      <c r="N18" s="221"/>
      <c r="O18"/>
      <c r="P18" s="269">
        <v>10</v>
      </c>
      <c r="Q18" s="270">
        <v>43296</v>
      </c>
      <c r="R18" s="270">
        <v>43465</v>
      </c>
      <c r="S18" s="5">
        <f t="shared" si="0"/>
        <v>170</v>
      </c>
      <c r="T18" s="267">
        <f t="shared" si="1"/>
        <v>0.46575342465753422</v>
      </c>
      <c r="U18" s="267">
        <f t="shared" si="2"/>
        <v>4.4657534246575343</v>
      </c>
      <c r="W18" s="2"/>
      <c r="X18" s="224"/>
      <c r="Y18" s="221"/>
      <c r="Z18" s="222"/>
      <c r="AA18" s="222"/>
    </row>
    <row r="19" spans="1:27" ht="14.5" customHeight="1" x14ac:dyDescent="0.2">
      <c r="A19" s="609"/>
      <c r="B19" s="683"/>
      <c r="C19" s="460">
        <f>'soil analysis data_Project'!N19</f>
        <v>18.181800000000003</v>
      </c>
      <c r="D19" s="277">
        <f>'Soil data_baseline'!$G$28</f>
        <v>8.5040675999999991</v>
      </c>
      <c r="E19" s="277">
        <f t="shared" si="3"/>
        <v>9.6777324000000036</v>
      </c>
      <c r="F19" s="281"/>
      <c r="G19" s="296"/>
      <c r="H19" s="303"/>
      <c r="I19" s="307"/>
      <c r="J19" s="305"/>
      <c r="K19" s="300"/>
      <c r="L19" s="223"/>
      <c r="M19" s="220"/>
      <c r="N19" s="221"/>
      <c r="O19"/>
      <c r="P19" s="269">
        <v>11</v>
      </c>
      <c r="Q19" s="270">
        <v>43303</v>
      </c>
      <c r="R19" s="270">
        <v>43465</v>
      </c>
      <c r="S19" s="5">
        <f t="shared" si="0"/>
        <v>163</v>
      </c>
      <c r="T19" s="267">
        <f t="shared" si="1"/>
        <v>0.44657534246575342</v>
      </c>
      <c r="U19" s="267">
        <f t="shared" si="2"/>
        <v>4.4465753424657537</v>
      </c>
      <c r="W19" s="219"/>
      <c r="X19" s="220"/>
      <c r="Y19" s="221"/>
      <c r="Z19" s="222"/>
      <c r="AA19" s="222"/>
    </row>
    <row r="20" spans="1:27" ht="14.5" customHeight="1" x14ac:dyDescent="0.2">
      <c r="A20" s="609"/>
      <c r="B20" s="683"/>
      <c r="C20" s="460">
        <f>'soil analysis data_Project'!N20</f>
        <v>14.126400000000004</v>
      </c>
      <c r="D20" s="277">
        <f>'Soil data_baseline'!$G$28</f>
        <v>8.5040675999999991</v>
      </c>
      <c r="E20" s="277">
        <f t="shared" si="3"/>
        <v>5.6223324000000048</v>
      </c>
      <c r="F20" s="281"/>
      <c r="G20" s="296"/>
      <c r="H20" s="303"/>
      <c r="I20" s="307"/>
      <c r="J20" s="305"/>
      <c r="K20" s="300"/>
      <c r="L20" s="223"/>
      <c r="M20" s="220"/>
      <c r="N20" s="221"/>
      <c r="O20"/>
      <c r="P20" s="269">
        <v>12</v>
      </c>
      <c r="Q20" s="270">
        <v>43282</v>
      </c>
      <c r="R20" s="270">
        <v>43465</v>
      </c>
      <c r="S20" s="5">
        <f t="shared" si="0"/>
        <v>184</v>
      </c>
      <c r="T20" s="267">
        <f t="shared" si="1"/>
        <v>0.50410958904109593</v>
      </c>
      <c r="U20" s="267">
        <f t="shared" si="2"/>
        <v>4.5041095890410956</v>
      </c>
      <c r="W20" s="2"/>
      <c r="X20" s="220"/>
      <c r="Y20" s="221"/>
      <c r="Z20" s="222"/>
      <c r="AA20" s="222"/>
    </row>
    <row r="21" spans="1:27" ht="14.5" customHeight="1" x14ac:dyDescent="0.2">
      <c r="A21" s="609"/>
      <c r="B21" s="683"/>
      <c r="C21" s="460">
        <f>'soil analysis data_Project'!N21</f>
        <v>28.661220000000004</v>
      </c>
      <c r="D21" s="277">
        <f>'Soil data_baseline'!$G$28</f>
        <v>8.5040675999999991</v>
      </c>
      <c r="E21" s="277">
        <f t="shared" si="3"/>
        <v>20.157152400000005</v>
      </c>
      <c r="F21" s="281"/>
      <c r="G21" s="296"/>
      <c r="H21" s="303"/>
      <c r="I21" s="307"/>
      <c r="J21" s="305"/>
      <c r="K21" s="300"/>
      <c r="L21" s="223"/>
      <c r="M21" s="220"/>
      <c r="N21" s="221"/>
      <c r="O21"/>
      <c r="P21" s="269">
        <v>13</v>
      </c>
      <c r="Q21" s="270">
        <v>43288</v>
      </c>
      <c r="R21" s="270">
        <v>43465</v>
      </c>
      <c r="S21" s="5">
        <f t="shared" si="0"/>
        <v>178</v>
      </c>
      <c r="T21" s="267">
        <f t="shared" si="1"/>
        <v>0.48767123287671232</v>
      </c>
      <c r="U21" s="267">
        <f t="shared" si="2"/>
        <v>4.4876712328767123</v>
      </c>
      <c r="W21" s="219"/>
      <c r="X21" s="220"/>
      <c r="Y21" s="221"/>
      <c r="Z21" s="222"/>
      <c r="AA21" s="222"/>
    </row>
    <row r="22" spans="1:27" ht="14.5" customHeight="1" thickBot="1" x14ac:dyDescent="0.25">
      <c r="A22" s="620"/>
      <c r="B22" s="684"/>
      <c r="C22" s="462">
        <f>'soil analysis data_Project'!N22</f>
        <v>18.007199999999994</v>
      </c>
      <c r="D22" s="309">
        <f>'Soil data_baseline'!$G$28</f>
        <v>8.5040675999999991</v>
      </c>
      <c r="E22" s="309">
        <f t="shared" si="3"/>
        <v>9.5031323999999948</v>
      </c>
      <c r="F22" s="310"/>
      <c r="G22" s="311"/>
      <c r="H22" s="303"/>
      <c r="I22" s="307"/>
      <c r="J22" s="305"/>
      <c r="K22" s="300"/>
      <c r="L22" s="223"/>
      <c r="M22" s="220"/>
      <c r="N22" s="221"/>
      <c r="O22"/>
      <c r="P22" s="269">
        <v>14</v>
      </c>
      <c r="Q22" s="270">
        <v>43282</v>
      </c>
      <c r="R22" s="270">
        <v>43465</v>
      </c>
      <c r="S22" s="5">
        <f t="shared" si="0"/>
        <v>184</v>
      </c>
      <c r="T22" s="267">
        <f t="shared" si="1"/>
        <v>0.50410958904109593</v>
      </c>
      <c r="U22" s="267">
        <f t="shared" si="2"/>
        <v>4.5041095890410956</v>
      </c>
      <c r="W22" s="2"/>
      <c r="X22" s="220"/>
      <c r="Y22" s="221"/>
      <c r="Z22" s="222"/>
      <c r="AA22" s="222"/>
    </row>
    <row r="23" spans="1:27" ht="19.25" customHeight="1" x14ac:dyDescent="0.2">
      <c r="A23" s="608">
        <v>3</v>
      </c>
      <c r="B23" s="675">
        <f>Assumptions!D63</f>
        <v>4319.8270000000002</v>
      </c>
      <c r="C23" s="459">
        <f>'soil analysis data_Project'!N23</f>
        <v>20.902139999999999</v>
      </c>
      <c r="D23" s="284">
        <f>'Soil data_baseline'!$G$28</f>
        <v>8.5040675999999991</v>
      </c>
      <c r="E23" s="284">
        <f t="shared" si="3"/>
        <v>12.3980724</v>
      </c>
      <c r="F23" s="285" t="s">
        <v>627</v>
      </c>
      <c r="G23" s="294">
        <f>ROUND(AVERAGE(E23:E28),2)</f>
        <v>28.16</v>
      </c>
      <c r="H23" s="299">
        <f>G23-1.96*G25</f>
        <v>2.4373361391394646</v>
      </c>
      <c r="I23" s="299">
        <f>U11</f>
        <v>4.4657534246575343</v>
      </c>
      <c r="J23" s="299">
        <f>H23*B23</f>
        <v>10528.870461930417</v>
      </c>
      <c r="K23" s="299">
        <f>(J23/I23)*44/12</f>
        <v>8644.8701236504348</v>
      </c>
      <c r="L23" s="217"/>
      <c r="M23" s="220"/>
      <c r="N23" s="221"/>
      <c r="O23"/>
      <c r="P23" s="269">
        <v>15</v>
      </c>
      <c r="Q23" s="270">
        <v>43292</v>
      </c>
      <c r="R23" s="270">
        <v>43465</v>
      </c>
      <c r="S23" s="5">
        <f t="shared" si="0"/>
        <v>174</v>
      </c>
      <c r="T23" s="267">
        <f t="shared" si="1"/>
        <v>0.47671232876712327</v>
      </c>
      <c r="U23" s="267">
        <f t="shared" si="2"/>
        <v>4.4767123287671229</v>
      </c>
      <c r="W23" s="219"/>
      <c r="X23" s="220"/>
      <c r="Y23" s="221"/>
      <c r="Z23" s="222"/>
      <c r="AA23" s="222"/>
    </row>
    <row r="24" spans="1:27" ht="19.25" customHeight="1" x14ac:dyDescent="0.2">
      <c r="A24" s="609"/>
      <c r="B24" s="676"/>
      <c r="C24" s="460">
        <f>'soil analysis data_Project'!N24</f>
        <v>30.169439999999998</v>
      </c>
      <c r="D24" s="277">
        <f>'Soil data_baseline'!$G$28</f>
        <v>8.5040675999999991</v>
      </c>
      <c r="E24" s="277">
        <f t="shared" si="3"/>
        <v>21.665372399999999</v>
      </c>
      <c r="F24" s="278" t="s">
        <v>628</v>
      </c>
      <c r="G24" s="295">
        <f>STDEVP(E23:E28)</f>
        <v>32.1466333082844</v>
      </c>
      <c r="H24" s="300"/>
      <c r="I24" s="305"/>
      <c r="J24" s="305"/>
      <c r="K24" s="300"/>
      <c r="L24" s="223"/>
      <c r="M24" s="220"/>
      <c r="N24" s="221"/>
      <c r="O24"/>
      <c r="P24" s="269">
        <v>16</v>
      </c>
      <c r="Q24" s="270">
        <v>43312</v>
      </c>
      <c r="R24" s="270">
        <v>43465</v>
      </c>
      <c r="S24" s="5">
        <f t="shared" si="0"/>
        <v>154</v>
      </c>
      <c r="T24" s="267">
        <f t="shared" si="1"/>
        <v>0.42191780821917807</v>
      </c>
      <c r="U24" s="267">
        <f t="shared" si="2"/>
        <v>4.4219178082191783</v>
      </c>
      <c r="W24" s="2"/>
      <c r="X24" s="220"/>
      <c r="Y24" s="221"/>
      <c r="Z24" s="222"/>
      <c r="AA24" s="222"/>
    </row>
    <row r="25" spans="1:27" ht="19.25" customHeight="1" x14ac:dyDescent="0.2">
      <c r="A25" s="609"/>
      <c r="B25" s="676"/>
      <c r="C25" s="460">
        <f>'soil analysis data_Project'!N25</f>
        <v>107.25</v>
      </c>
      <c r="D25" s="277">
        <f>'Soil data_baseline'!$G$28</f>
        <v>8.5040675999999991</v>
      </c>
      <c r="E25" s="277">
        <f t="shared" si="3"/>
        <v>98.745932400000001</v>
      </c>
      <c r="F25" s="278" t="s">
        <v>625</v>
      </c>
      <c r="G25" s="295">
        <f>G24/SQRT(COUNT(E23:E28))</f>
        <v>13.123808092275784</v>
      </c>
      <c r="H25" s="300"/>
      <c r="I25" s="305"/>
      <c r="J25" s="305"/>
      <c r="K25" s="300"/>
      <c r="L25" s="223"/>
      <c r="M25" s="220"/>
      <c r="N25" s="221"/>
      <c r="O25"/>
      <c r="P25" s="269">
        <v>17</v>
      </c>
      <c r="Q25" s="270">
        <v>43300</v>
      </c>
      <c r="R25" s="270">
        <v>43465</v>
      </c>
      <c r="S25" s="5">
        <f t="shared" si="0"/>
        <v>166</v>
      </c>
      <c r="T25" s="267">
        <f t="shared" si="1"/>
        <v>0.45479452054794522</v>
      </c>
      <c r="U25" s="267">
        <f t="shared" si="2"/>
        <v>4.4547945205479449</v>
      </c>
      <c r="W25" s="219"/>
      <c r="X25" s="220"/>
      <c r="Y25" s="221"/>
      <c r="Z25" s="222"/>
      <c r="AA25" s="222"/>
    </row>
    <row r="26" spans="1:27" ht="19.25" customHeight="1" x14ac:dyDescent="0.2">
      <c r="A26" s="609"/>
      <c r="B26" s="676"/>
      <c r="C26" s="460">
        <f>'soil analysis data_Project'!N26</f>
        <v>12.121199999999998</v>
      </c>
      <c r="D26" s="277">
        <f>'Soil data_baseline'!$G$28</f>
        <v>8.5040675999999991</v>
      </c>
      <c r="E26" s="277">
        <f t="shared" si="3"/>
        <v>3.6171323999999991</v>
      </c>
      <c r="F26" s="281"/>
      <c r="G26" s="296"/>
      <c r="H26" s="300"/>
      <c r="I26" s="305"/>
      <c r="J26" s="305"/>
      <c r="K26" s="300"/>
      <c r="L26" s="223"/>
      <c r="M26" s="220"/>
      <c r="N26" s="221"/>
      <c r="O26"/>
      <c r="P26" s="269">
        <v>18</v>
      </c>
      <c r="Q26" s="270">
        <v>43296</v>
      </c>
      <c r="R26" s="270">
        <v>43465</v>
      </c>
      <c r="S26" s="5">
        <f t="shared" si="0"/>
        <v>170</v>
      </c>
      <c r="T26" s="267">
        <f t="shared" si="1"/>
        <v>0.46575342465753422</v>
      </c>
      <c r="U26" s="267">
        <f t="shared" si="2"/>
        <v>4.4657534246575343</v>
      </c>
      <c r="W26" s="2"/>
      <c r="X26" s="220"/>
      <c r="Y26" s="221"/>
      <c r="Z26" s="222"/>
      <c r="AA26" s="222"/>
    </row>
    <row r="27" spans="1:27" ht="19.25" customHeight="1" x14ac:dyDescent="0.2">
      <c r="A27" s="609"/>
      <c r="B27" s="676"/>
      <c r="C27" s="460">
        <f>'soil analysis data_Project'!N27</f>
        <v>20.161799999999999</v>
      </c>
      <c r="D27" s="277">
        <f>'Soil data_baseline'!$G$28</f>
        <v>8.5040675999999991</v>
      </c>
      <c r="E27" s="277">
        <f t="shared" si="3"/>
        <v>11.6577324</v>
      </c>
      <c r="F27" s="281"/>
      <c r="G27" s="296"/>
      <c r="H27" s="300"/>
      <c r="I27" s="305"/>
      <c r="J27" s="305"/>
      <c r="K27" s="300"/>
      <c r="L27" s="223"/>
      <c r="M27" s="220"/>
      <c r="N27" s="221"/>
      <c r="O27"/>
      <c r="P27" s="269">
        <v>19</v>
      </c>
      <c r="Q27" s="270">
        <v>43293</v>
      </c>
      <c r="R27" s="270">
        <v>43465</v>
      </c>
      <c r="S27" s="5">
        <f t="shared" si="0"/>
        <v>173</v>
      </c>
      <c r="T27" s="267">
        <f t="shared" si="1"/>
        <v>0.47397260273972602</v>
      </c>
      <c r="U27" s="267">
        <f t="shared" si="2"/>
        <v>4.4739726027397264</v>
      </c>
      <c r="W27" s="219"/>
      <c r="X27" s="220"/>
      <c r="Y27" s="221"/>
      <c r="Z27" s="222"/>
      <c r="AA27" s="222"/>
    </row>
    <row r="28" spans="1:27" ht="19.25" customHeight="1" thickBot="1" x14ac:dyDescent="0.25">
      <c r="A28" s="610"/>
      <c r="B28" s="677"/>
      <c r="C28" s="461">
        <f>'soil analysis data_Project'!N28</f>
        <v>29.400000000000002</v>
      </c>
      <c r="D28" s="290">
        <f>'Soil data_baseline'!$G$28</f>
        <v>8.5040675999999991</v>
      </c>
      <c r="E28" s="290">
        <f t="shared" si="3"/>
        <v>20.895932400000003</v>
      </c>
      <c r="F28" s="293"/>
      <c r="G28" s="297"/>
      <c r="H28" s="300"/>
      <c r="I28" s="305"/>
      <c r="J28" s="305"/>
      <c r="K28" s="300"/>
      <c r="L28" s="223"/>
      <c r="M28" s="220"/>
      <c r="N28" s="221"/>
      <c r="O28"/>
      <c r="P28" s="269">
        <v>20</v>
      </c>
      <c r="Q28" s="270">
        <v>43310</v>
      </c>
      <c r="R28" s="270">
        <v>43465</v>
      </c>
      <c r="S28" s="5">
        <f t="shared" si="0"/>
        <v>156</v>
      </c>
      <c r="T28" s="267">
        <f t="shared" si="1"/>
        <v>0.42739726027397262</v>
      </c>
      <c r="U28" s="267">
        <f t="shared" si="2"/>
        <v>4.4273972602739722</v>
      </c>
      <c r="W28" s="2"/>
      <c r="X28" s="220"/>
      <c r="Y28" s="221"/>
      <c r="Z28" s="222"/>
      <c r="AA28" s="222"/>
    </row>
    <row r="29" spans="1:27" x14ac:dyDescent="0.2">
      <c r="A29" s="608">
        <v>4</v>
      </c>
      <c r="B29" s="631">
        <f>Assumptions!D64</f>
        <v>1612.0500000000002</v>
      </c>
      <c r="C29" s="459">
        <f>'soil analysis data_Project'!N29</f>
        <v>53.308710000000012</v>
      </c>
      <c r="D29" s="284">
        <f>'Soil data_baseline'!$G$28</f>
        <v>8.5040675999999991</v>
      </c>
      <c r="E29" s="284">
        <f t="shared" si="3"/>
        <v>44.804642400000013</v>
      </c>
      <c r="F29" s="285" t="s">
        <v>627</v>
      </c>
      <c r="G29" s="294">
        <f>ROUND(AVERAGE(E29:E31),2)</f>
        <v>27.29</v>
      </c>
      <c r="H29" s="299">
        <f>G29-1.96*G31</f>
        <v>4.5744005750246792</v>
      </c>
      <c r="I29" s="299">
        <f>U12</f>
        <v>4.4739726027397264</v>
      </c>
      <c r="J29" s="299">
        <f>H29*B29</f>
        <v>7374.1624469685348</v>
      </c>
      <c r="K29" s="299">
        <f>(J29/I29)*44/12</f>
        <v>6043.5317870134031</v>
      </c>
      <c r="L29" s="217"/>
      <c r="M29" s="220"/>
      <c r="N29" s="221"/>
      <c r="O29"/>
      <c r="P29" s="269">
        <v>21</v>
      </c>
      <c r="Q29" s="270">
        <v>43283</v>
      </c>
      <c r="R29" s="270">
        <v>43465</v>
      </c>
      <c r="S29" s="5">
        <f t="shared" si="0"/>
        <v>183</v>
      </c>
      <c r="T29" s="267">
        <f t="shared" si="1"/>
        <v>0.50136986301369868</v>
      </c>
      <c r="U29" s="267">
        <f t="shared" si="2"/>
        <v>4.5013698630136982</v>
      </c>
      <c r="W29" s="219"/>
      <c r="X29" s="220"/>
      <c r="Y29" s="221"/>
      <c r="Z29" s="222"/>
      <c r="AA29" s="222"/>
    </row>
    <row r="30" spans="1:27" x14ac:dyDescent="0.2">
      <c r="A30" s="609"/>
      <c r="B30" s="625"/>
      <c r="C30" s="460">
        <f>'soil analysis data_Project'!N30</f>
        <v>46.39050000000001</v>
      </c>
      <c r="D30" s="277">
        <f>'Soil data_baseline'!$G$28</f>
        <v>8.5040675999999991</v>
      </c>
      <c r="E30" s="277">
        <f t="shared" si="3"/>
        <v>37.886432400000011</v>
      </c>
      <c r="F30" s="278" t="s">
        <v>628</v>
      </c>
      <c r="G30" s="295">
        <f>STDEVP(E29:E31)</f>
        <v>20.073761392061034</v>
      </c>
      <c r="H30" s="300"/>
      <c r="I30" s="305"/>
      <c r="J30" s="305"/>
      <c r="K30" s="300"/>
      <c r="L30" s="223"/>
      <c r="M30" s="220"/>
      <c r="N30" s="221"/>
      <c r="O30"/>
      <c r="P30" s="269">
        <v>22</v>
      </c>
      <c r="Q30" s="270">
        <v>43296</v>
      </c>
      <c r="R30" s="270">
        <v>43465</v>
      </c>
      <c r="S30" s="5">
        <f t="shared" si="0"/>
        <v>170</v>
      </c>
      <c r="T30" s="267">
        <f t="shared" si="1"/>
        <v>0.46575342465753422</v>
      </c>
      <c r="U30" s="267">
        <f t="shared" si="2"/>
        <v>4.4657534246575343</v>
      </c>
      <c r="W30" s="2"/>
      <c r="X30" s="220"/>
      <c r="Y30" s="221"/>
      <c r="Z30" s="222"/>
      <c r="AA30" s="222"/>
    </row>
    <row r="31" spans="1:27" ht="16" thickBot="1" x14ac:dyDescent="0.25">
      <c r="A31" s="610"/>
      <c r="B31" s="626"/>
      <c r="C31" s="461">
        <f>'soil analysis data_Project'!N31</f>
        <v>7.6903199999999998</v>
      </c>
      <c r="D31" s="290">
        <f>'Soil data_baseline'!$G$28</f>
        <v>8.5040675999999991</v>
      </c>
      <c r="E31" s="290">
        <f t="shared" si="3"/>
        <v>-0.81374759999999924</v>
      </c>
      <c r="F31" s="291" t="s">
        <v>625</v>
      </c>
      <c r="G31" s="314">
        <f>G30/SQRT(COUNT(E29:E31))</f>
        <v>11.589591543354755</v>
      </c>
      <c r="H31" s="300"/>
      <c r="I31" s="305"/>
      <c r="J31" s="305"/>
      <c r="K31" s="300"/>
      <c r="L31" s="223"/>
      <c r="M31" s="220"/>
      <c r="N31" s="221"/>
      <c r="O31"/>
      <c r="P31" s="216"/>
      <c r="Q31" s="216"/>
      <c r="R31" s="216"/>
      <c r="S31" s="216"/>
      <c r="W31" s="219"/>
      <c r="X31" s="220"/>
      <c r="Y31" s="221"/>
      <c r="Z31" s="222"/>
      <c r="AA31" s="222"/>
    </row>
    <row r="32" spans="1:27" x14ac:dyDescent="0.2">
      <c r="A32" s="608">
        <v>5</v>
      </c>
      <c r="B32" s="678">
        <f>Assumptions!D65</f>
        <v>353.58800000000002</v>
      </c>
      <c r="C32" s="459">
        <f>'soil analysis data_Project'!N32</f>
        <v>17.706779999999998</v>
      </c>
      <c r="D32" s="284">
        <f>'Soil data_baseline'!$G$28</f>
        <v>8.5040675999999991</v>
      </c>
      <c r="E32" s="284">
        <f t="shared" si="3"/>
        <v>9.2027123999999993</v>
      </c>
      <c r="F32" s="285" t="s">
        <v>627</v>
      </c>
      <c r="G32" s="294">
        <f>ROUND(AVERAGE(E32:E34),2)</f>
        <v>40.94</v>
      </c>
      <c r="H32" s="299">
        <f>G32-1.96*G34</f>
        <v>2.2826760140577278</v>
      </c>
      <c r="I32" s="299">
        <f>U13</f>
        <v>4.5041095890410956</v>
      </c>
      <c r="J32" s="299">
        <f>H32*B32</f>
        <v>807.12684645864385</v>
      </c>
      <c r="K32" s="299">
        <f>(J32/I32)*44/12</f>
        <v>657.05885817750516</v>
      </c>
      <c r="L32" s="217"/>
      <c r="M32" s="226"/>
      <c r="N32" s="221"/>
      <c r="P32" s="216"/>
      <c r="Q32" s="218"/>
      <c r="R32" s="218"/>
      <c r="S32" s="218"/>
      <c r="W32" s="2"/>
      <c r="X32" s="226"/>
      <c r="Y32" s="227"/>
    </row>
    <row r="33" spans="1:27" x14ac:dyDescent="0.2">
      <c r="A33" s="609"/>
      <c r="B33" s="625"/>
      <c r="C33" s="460">
        <f>'soil analysis data_Project'!N33</f>
        <v>96.857279999999989</v>
      </c>
      <c r="D33" s="277">
        <f>'Soil data_baseline'!$G$28</f>
        <v>8.5040675999999991</v>
      </c>
      <c r="E33" s="277">
        <f t="shared" si="3"/>
        <v>88.35321239999999</v>
      </c>
      <c r="F33" s="278" t="s">
        <v>628</v>
      </c>
      <c r="G33" s="295">
        <f>STDEVP(E32:E34)</f>
        <v>34.161453687909713</v>
      </c>
      <c r="H33" s="300"/>
      <c r="I33" s="305"/>
      <c r="J33" s="305"/>
      <c r="K33" s="300"/>
      <c r="L33" s="223"/>
      <c r="M33" s="223"/>
      <c r="N33" s="221"/>
      <c r="P33" s="216"/>
      <c r="Q33" s="216"/>
      <c r="R33" s="216"/>
      <c r="S33" s="216"/>
      <c r="W33" s="219"/>
      <c r="X33" s="220"/>
    </row>
    <row r="34" spans="1:27" ht="16" thickBot="1" x14ac:dyDescent="0.25">
      <c r="A34" s="610"/>
      <c r="B34" s="636"/>
      <c r="C34" s="461">
        <f>'soil analysis data_Project'!N34</f>
        <v>33.767760000000003</v>
      </c>
      <c r="D34" s="290">
        <f>'Soil data_baseline'!$G$28</f>
        <v>8.5040675999999991</v>
      </c>
      <c r="E34" s="290">
        <f t="shared" si="3"/>
        <v>25.263692400000004</v>
      </c>
      <c r="F34" s="291" t="s">
        <v>625</v>
      </c>
      <c r="G34" s="314">
        <f>G33/SQRT(COUNT(E32:E34))</f>
        <v>19.723124482623607</v>
      </c>
      <c r="H34" s="300"/>
      <c r="I34" s="305"/>
      <c r="J34" s="305"/>
      <c r="K34" s="300"/>
      <c r="L34" s="223"/>
      <c r="M34" s="223"/>
      <c r="N34" s="221"/>
      <c r="P34" s="216"/>
      <c r="Q34" s="216"/>
      <c r="R34" s="216"/>
      <c r="S34" s="216"/>
      <c r="W34" s="2"/>
      <c r="X34" s="220"/>
    </row>
    <row r="35" spans="1:27" x14ac:dyDescent="0.2">
      <c r="A35" s="608">
        <v>6</v>
      </c>
      <c r="B35" s="624">
        <f>Assumptions!D66</f>
        <v>4915.7929999999997</v>
      </c>
      <c r="C35" s="459">
        <f>'soil analysis data_Project'!N35</f>
        <v>23.485140000000001</v>
      </c>
      <c r="D35" s="284">
        <f>'Soil data_baseline'!$G$28</f>
        <v>8.5040675999999991</v>
      </c>
      <c r="E35" s="284">
        <f t="shared" si="3"/>
        <v>14.981072400000002</v>
      </c>
      <c r="F35" s="285" t="s">
        <v>627</v>
      </c>
      <c r="G35" s="294">
        <f>ROUND(AVERAGE(E35:E40),2)</f>
        <v>19.61</v>
      </c>
      <c r="H35" s="299">
        <f>G35-1.96*G37</f>
        <v>2.1616536033424438</v>
      </c>
      <c r="I35" s="299">
        <f>U14</f>
        <v>4.4794520547945202</v>
      </c>
      <c r="J35" s="299">
        <f>H35*B35</f>
        <v>10626.241651735561</v>
      </c>
      <c r="K35" s="299">
        <f>(J35/I35)*44/12</f>
        <v>8698.1366425521464</v>
      </c>
      <c r="L35" s="217"/>
      <c r="M35" s="217"/>
      <c r="N35" s="221"/>
      <c r="P35" s="216"/>
      <c r="Q35" s="218"/>
      <c r="R35" s="218"/>
      <c r="S35" s="218"/>
      <c r="X35" s="228"/>
      <c r="Y35" s="127"/>
      <c r="Z35" s="127"/>
      <c r="AA35" s="229"/>
    </row>
    <row r="36" spans="1:27" x14ac:dyDescent="0.2">
      <c r="A36" s="609"/>
      <c r="B36" s="625"/>
      <c r="C36" s="460">
        <f>'soil analysis data_Project'!N36</f>
        <v>15.561</v>
      </c>
      <c r="D36" s="277">
        <f>'Soil data_baseline'!$G$28</f>
        <v>8.5040675999999991</v>
      </c>
      <c r="E36" s="277">
        <f t="shared" si="3"/>
        <v>7.0569324000000009</v>
      </c>
      <c r="F36" s="278" t="s">
        <v>628</v>
      </c>
      <c r="G36" s="295">
        <f>STDEVP(E35:E40)</f>
        <v>21.805890575071686</v>
      </c>
      <c r="H36" s="300"/>
      <c r="I36" s="305"/>
      <c r="J36" s="305"/>
      <c r="K36" s="300"/>
      <c r="L36" s="223"/>
      <c r="M36" s="223"/>
      <c r="N36" s="221"/>
      <c r="P36" s="216"/>
      <c r="Q36" s="216"/>
      <c r="R36" s="216"/>
      <c r="S36" s="216"/>
      <c r="X36" s="230"/>
      <c r="Y36" s="230"/>
      <c r="Z36" s="231"/>
      <c r="AA36" s="232"/>
    </row>
    <row r="37" spans="1:27" x14ac:dyDescent="0.2">
      <c r="A37" s="609"/>
      <c r="B37" s="625"/>
      <c r="C37" s="460">
        <f>'soil analysis data_Project'!N37</f>
        <v>27.436499999999995</v>
      </c>
      <c r="D37" s="277">
        <f>'Soil data_baseline'!$G$28</f>
        <v>8.5040675999999991</v>
      </c>
      <c r="E37" s="277">
        <f t="shared" si="3"/>
        <v>18.932432399999996</v>
      </c>
      <c r="F37" s="278" t="s">
        <v>625</v>
      </c>
      <c r="G37" s="295">
        <f>G36/SQRT(COUNT(E35:E40))</f>
        <v>8.902217549315079</v>
      </c>
      <c r="H37" s="300"/>
      <c r="I37" s="305"/>
      <c r="J37" s="305"/>
      <c r="K37" s="300"/>
      <c r="L37" s="223"/>
      <c r="M37" s="223"/>
      <c r="N37" s="221"/>
      <c r="P37" s="216"/>
      <c r="Q37" s="216"/>
      <c r="R37" s="216"/>
      <c r="S37" s="216"/>
      <c r="X37" s="230"/>
      <c r="Y37" s="230"/>
      <c r="Z37" s="231"/>
      <c r="AA37" s="232"/>
    </row>
    <row r="38" spans="1:27" x14ac:dyDescent="0.2">
      <c r="A38" s="609"/>
      <c r="B38" s="625"/>
      <c r="C38" s="460">
        <f>'soil analysis data_Project'!N38</f>
        <v>74.970000000000013</v>
      </c>
      <c r="D38" s="277">
        <f>'Soil data_baseline'!$G$28</f>
        <v>8.5040675999999991</v>
      </c>
      <c r="E38" s="277">
        <f t="shared" si="3"/>
        <v>66.465932400000014</v>
      </c>
      <c r="F38" s="281"/>
      <c r="G38" s="296"/>
      <c r="H38" s="300"/>
      <c r="I38" s="305"/>
      <c r="J38" s="305"/>
      <c r="K38" s="300"/>
      <c r="L38" s="223"/>
      <c r="M38" s="223"/>
      <c r="N38" s="221"/>
      <c r="P38" s="216"/>
      <c r="Q38" s="216"/>
      <c r="R38" s="216"/>
      <c r="S38" s="216"/>
      <c r="X38" s="230"/>
      <c r="Y38" s="230"/>
      <c r="Z38" s="231"/>
      <c r="AA38" s="232"/>
    </row>
    <row r="39" spans="1:27" x14ac:dyDescent="0.2">
      <c r="A39" s="609"/>
      <c r="B39" s="625"/>
      <c r="C39" s="460">
        <f>'soil analysis data_Project'!N39</f>
        <v>18.962999999999997</v>
      </c>
      <c r="D39" s="277">
        <f>'Soil data_baseline'!$G$28</f>
        <v>8.5040675999999991</v>
      </c>
      <c r="E39" s="277">
        <f t="shared" si="3"/>
        <v>10.458932399999998</v>
      </c>
      <c r="F39" s="281"/>
      <c r="G39" s="296"/>
      <c r="H39" s="300"/>
      <c r="I39" s="305"/>
      <c r="J39" s="305"/>
      <c r="K39" s="300"/>
      <c r="L39" s="223"/>
      <c r="M39" s="223"/>
      <c r="N39" s="221"/>
      <c r="P39" s="216"/>
      <c r="Q39" s="216"/>
      <c r="R39" s="216"/>
      <c r="S39" s="216"/>
      <c r="X39" s="230"/>
      <c r="Y39" s="230"/>
      <c r="Z39" s="231"/>
      <c r="AA39" s="232"/>
    </row>
    <row r="40" spans="1:27" ht="16" thickBot="1" x14ac:dyDescent="0.25">
      <c r="A40" s="610"/>
      <c r="B40" s="636"/>
      <c r="C40" s="461">
        <f>'soil analysis data_Project'!N40</f>
        <v>8.257200000000001</v>
      </c>
      <c r="D40" s="290">
        <f>'Soil data_baseline'!$G$28</f>
        <v>8.5040675999999991</v>
      </c>
      <c r="E40" s="290">
        <f t="shared" si="3"/>
        <v>-0.24686759999999808</v>
      </c>
      <c r="F40" s="293"/>
      <c r="G40" s="297"/>
      <c r="H40" s="300"/>
      <c r="I40" s="305"/>
      <c r="J40" s="305"/>
      <c r="K40" s="300"/>
      <c r="L40" s="223"/>
      <c r="M40" s="223"/>
      <c r="N40" s="221"/>
      <c r="P40" s="216"/>
      <c r="Q40" s="216"/>
      <c r="R40" s="216"/>
      <c r="S40" s="216"/>
      <c r="X40" s="230"/>
      <c r="Y40" s="230"/>
      <c r="Z40" s="231"/>
      <c r="AA40" s="232"/>
    </row>
    <row r="41" spans="1:27" x14ac:dyDescent="0.2">
      <c r="A41" s="608">
        <v>7</v>
      </c>
      <c r="B41" s="678">
        <f>Assumptions!D67</f>
        <v>2549.9479999999994</v>
      </c>
      <c r="C41" s="459">
        <f>'soil analysis data_Project'!N41</f>
        <v>17.637900000000002</v>
      </c>
      <c r="D41" s="284">
        <f>'Soil data_baseline'!$G$28</f>
        <v>8.5040675999999991</v>
      </c>
      <c r="E41" s="284">
        <f t="shared" si="3"/>
        <v>9.1338324000000028</v>
      </c>
      <c r="F41" s="285" t="s">
        <v>627</v>
      </c>
      <c r="G41" s="294">
        <f>ROUND(AVERAGE(E41:E43),2)</f>
        <v>57.23</v>
      </c>
      <c r="H41" s="299">
        <f>G41-1.96*G43</f>
        <v>1.1862105630430904</v>
      </c>
      <c r="I41" s="299">
        <f>U15</f>
        <v>4.463013698630137</v>
      </c>
      <c r="J41" s="299">
        <f>H41*B41</f>
        <v>3024.7752528106016</v>
      </c>
      <c r="K41" s="299">
        <f>(J41/I41)*44/12</f>
        <v>2485.0568119571444</v>
      </c>
      <c r="L41" s="217"/>
      <c r="M41" s="217"/>
      <c r="N41" s="221"/>
      <c r="P41" s="216"/>
      <c r="Q41" s="218"/>
      <c r="R41" s="218"/>
      <c r="S41" s="218"/>
    </row>
    <row r="42" spans="1:27" x14ac:dyDescent="0.2">
      <c r="A42" s="609"/>
      <c r="B42" s="676"/>
      <c r="C42" s="460">
        <f>'soil analysis data_Project'!N42</f>
        <v>45.683999999999997</v>
      </c>
      <c r="D42" s="277">
        <f>'Soil data_baseline'!$G$28</f>
        <v>8.5040675999999991</v>
      </c>
      <c r="E42" s="277">
        <f t="shared" si="3"/>
        <v>37.179932399999998</v>
      </c>
      <c r="F42" s="278" t="s">
        <v>628</v>
      </c>
      <c r="G42" s="295">
        <f>STDEVP(E41:E43)</f>
        <v>49.525862629337404</v>
      </c>
      <c r="H42" s="300"/>
      <c r="I42" s="305"/>
      <c r="J42" s="305"/>
      <c r="K42" s="300"/>
      <c r="L42" s="223"/>
      <c r="M42" s="223"/>
      <c r="N42" s="221"/>
      <c r="P42" s="216"/>
      <c r="Q42" s="216"/>
      <c r="R42" s="216"/>
      <c r="S42" s="216"/>
    </row>
    <row r="43" spans="1:27" ht="16" thickBot="1" x14ac:dyDescent="0.25">
      <c r="A43" s="610"/>
      <c r="B43" s="685"/>
      <c r="C43" s="461">
        <f>'soil analysis data_Project'!N43</f>
        <v>133.87499999999997</v>
      </c>
      <c r="D43" s="290">
        <f>'Soil data_baseline'!$G$28</f>
        <v>8.5040675999999991</v>
      </c>
      <c r="E43" s="290">
        <f t="shared" si="3"/>
        <v>125.37093239999997</v>
      </c>
      <c r="F43" s="291" t="s">
        <v>625</v>
      </c>
      <c r="G43" s="314">
        <f>G42/SQRT(COUNT(E41:E43))</f>
        <v>28.59377012089638</v>
      </c>
      <c r="H43" s="300"/>
      <c r="I43" s="305"/>
      <c r="J43" s="305"/>
      <c r="K43" s="300"/>
      <c r="L43" s="223"/>
      <c r="M43" s="223"/>
      <c r="N43" s="221"/>
      <c r="P43" s="216"/>
      <c r="Q43" s="216"/>
      <c r="R43" s="216"/>
      <c r="S43" s="216"/>
    </row>
    <row r="44" spans="1:27" x14ac:dyDescent="0.2">
      <c r="A44" s="608">
        <v>8</v>
      </c>
      <c r="B44" s="678">
        <f>Assumptions!D68</f>
        <v>741.26900000000001</v>
      </c>
      <c r="C44" s="459">
        <f>'soil analysis data_Project'!N44</f>
        <v>14.4</v>
      </c>
      <c r="D44" s="284">
        <f>'Soil data_baseline'!$G$28</f>
        <v>8.5040675999999991</v>
      </c>
      <c r="E44" s="284">
        <f t="shared" si="3"/>
        <v>5.8959324000000013</v>
      </c>
      <c r="F44" s="285" t="s">
        <v>627</v>
      </c>
      <c r="G44" s="294">
        <f>ROUND(AVERAGE(E44:E46),2)</f>
        <v>26.3</v>
      </c>
      <c r="H44" s="299">
        <f>G44-1.96*G46</f>
        <v>1.7819746308965598</v>
      </c>
      <c r="I44" s="299">
        <f>U16</f>
        <v>4.4657534246575343</v>
      </c>
      <c r="J44" s="299">
        <f>H44*B44</f>
        <v>1320.922552670062</v>
      </c>
      <c r="K44" s="299">
        <f>(J44/I44)*44/12</f>
        <v>1084.56115520865</v>
      </c>
      <c r="L44" s="217"/>
      <c r="M44" s="217"/>
      <c r="N44" s="221"/>
      <c r="P44" s="216"/>
      <c r="Q44" s="218"/>
      <c r="R44" s="218"/>
      <c r="S44" s="218"/>
    </row>
    <row r="45" spans="1:27" x14ac:dyDescent="0.2">
      <c r="A45" s="609"/>
      <c r="B45" s="676"/>
      <c r="C45" s="460">
        <f>'soil analysis data_Project'!N45</f>
        <v>25.200000000000003</v>
      </c>
      <c r="D45" s="277">
        <f>'Soil data_baseline'!$G$28</f>
        <v>8.5040675999999991</v>
      </c>
      <c r="E45" s="277">
        <f t="shared" si="3"/>
        <v>16.695932400000004</v>
      </c>
      <c r="F45" s="278" t="s">
        <v>628</v>
      </c>
      <c r="G45" s="295">
        <f>STDEVP(E44:E46)</f>
        <v>21.666564102321345</v>
      </c>
      <c r="H45" s="300"/>
      <c r="I45" s="305"/>
      <c r="J45" s="305"/>
      <c r="K45" s="300"/>
      <c r="L45" s="223"/>
      <c r="M45" s="223"/>
      <c r="N45" s="221"/>
      <c r="P45" s="216"/>
      <c r="Q45" s="216"/>
      <c r="R45" s="216"/>
      <c r="S45" s="216"/>
    </row>
    <row r="46" spans="1:27" ht="16" thickBot="1" x14ac:dyDescent="0.25">
      <c r="A46" s="620"/>
      <c r="B46" s="677"/>
      <c r="C46" s="462">
        <f>'soil analysis data_Project'!N46</f>
        <v>64.8</v>
      </c>
      <c r="D46" s="309">
        <f>'Soil data_baseline'!$G$28</f>
        <v>8.5040675999999991</v>
      </c>
      <c r="E46" s="309">
        <f t="shared" si="3"/>
        <v>56.295932399999998</v>
      </c>
      <c r="F46" s="315" t="s">
        <v>625</v>
      </c>
      <c r="G46" s="316">
        <f>G45/SQRT(COUNT(E44:E46))</f>
        <v>12.509196616889511</v>
      </c>
      <c r="H46" s="300"/>
      <c r="I46" s="305"/>
      <c r="J46" s="305"/>
      <c r="K46" s="300"/>
      <c r="L46" s="223"/>
      <c r="M46" s="223"/>
      <c r="N46" s="221"/>
      <c r="P46" s="216"/>
      <c r="Q46" s="216"/>
      <c r="R46" s="216"/>
      <c r="S46" s="216"/>
    </row>
    <row r="47" spans="1:27" ht="15" customHeight="1" x14ac:dyDescent="0.2">
      <c r="A47" s="608">
        <v>9</v>
      </c>
      <c r="B47" s="679">
        <f>Assumptions!D69</f>
        <v>8643.7000000000025</v>
      </c>
      <c r="C47" s="459">
        <f>'soil analysis data_Project'!N47</f>
        <v>15.913756444444445</v>
      </c>
      <c r="D47" s="284">
        <f>'Soil data_baseline'!$G$28</f>
        <v>8.5040675999999991</v>
      </c>
      <c r="E47" s="284">
        <f t="shared" si="3"/>
        <v>7.409688844444446</v>
      </c>
      <c r="F47" s="285" t="s">
        <v>627</v>
      </c>
      <c r="G47" s="294">
        <f>ROUND(AVERAGE(E47:E55),2)</f>
        <v>32.869999999999997</v>
      </c>
      <c r="H47" s="299">
        <f>G47-1.96*G49</f>
        <v>2.5151756812527815</v>
      </c>
      <c r="I47" s="299">
        <f>U17</f>
        <v>4.4602739726027396</v>
      </c>
      <c r="J47" s="299">
        <f>H47*B47</f>
        <v>21740.424036044675</v>
      </c>
      <c r="K47" s="312">
        <f>(J47/I47)*44/12</f>
        <v>17872.195435036727</v>
      </c>
      <c r="L47" s="217"/>
      <c r="M47" s="217"/>
      <c r="N47" s="221"/>
      <c r="P47" s="216"/>
      <c r="Q47" s="218"/>
      <c r="R47" s="218"/>
      <c r="S47" s="218"/>
    </row>
    <row r="48" spans="1:27" x14ac:dyDescent="0.2">
      <c r="A48" s="609"/>
      <c r="B48" s="680"/>
      <c r="C48" s="460">
        <f>'soil analysis data_Project'!N48</f>
        <v>19.463640000000002</v>
      </c>
      <c r="D48" s="277">
        <f>'Soil data_baseline'!$G$28</f>
        <v>8.5040675999999991</v>
      </c>
      <c r="E48" s="277">
        <f t="shared" si="3"/>
        <v>10.959572400000003</v>
      </c>
      <c r="F48" s="278" t="s">
        <v>628</v>
      </c>
      <c r="G48" s="295">
        <f>STDEVP(E47:E55)</f>
        <v>46.461465794000844</v>
      </c>
      <c r="H48" s="300"/>
      <c r="I48" s="305"/>
      <c r="J48" s="305"/>
      <c r="K48" s="313"/>
      <c r="L48" s="223"/>
      <c r="M48" s="223"/>
      <c r="N48" s="221"/>
      <c r="P48" s="216"/>
      <c r="Q48" s="216"/>
      <c r="R48" s="216"/>
      <c r="S48" s="216"/>
    </row>
    <row r="49" spans="1:20" x14ac:dyDescent="0.2">
      <c r="A49" s="609"/>
      <c r="B49" s="680"/>
      <c r="C49" s="460">
        <f>'soil analysis data_Project'!N49</f>
        <v>16.816800000000004</v>
      </c>
      <c r="D49" s="277">
        <f>'Soil data_baseline'!$G$28</f>
        <v>8.5040675999999991</v>
      </c>
      <c r="E49" s="277">
        <f t="shared" si="3"/>
        <v>8.3127324000000051</v>
      </c>
      <c r="F49" s="278" t="s">
        <v>625</v>
      </c>
      <c r="G49" s="295">
        <f>G48/SQRT(COUNT(E47:E55))</f>
        <v>15.487155264666947</v>
      </c>
      <c r="H49" s="300"/>
      <c r="I49" s="305"/>
      <c r="J49" s="305"/>
      <c r="K49" s="313"/>
      <c r="L49" s="223"/>
      <c r="M49" s="223"/>
      <c r="N49" s="221"/>
      <c r="P49" s="216"/>
      <c r="Q49" s="216"/>
      <c r="R49" s="216"/>
      <c r="S49" s="216"/>
    </row>
    <row r="50" spans="1:20" x14ac:dyDescent="0.2">
      <c r="A50" s="609"/>
      <c r="B50" s="680"/>
      <c r="C50" s="460">
        <f>'soil analysis data_Project'!N50</f>
        <v>20.28</v>
      </c>
      <c r="D50" s="277">
        <f>'Soil data_baseline'!$G$28</f>
        <v>8.5040675999999991</v>
      </c>
      <c r="E50" s="277">
        <f t="shared" si="3"/>
        <v>11.775932400000002</v>
      </c>
      <c r="F50" s="281"/>
      <c r="G50" s="296"/>
      <c r="H50" s="300"/>
      <c r="I50" s="305"/>
      <c r="J50" s="305"/>
      <c r="K50" s="313"/>
      <c r="L50" s="223"/>
      <c r="M50" s="223"/>
      <c r="N50" s="221"/>
      <c r="P50" s="216"/>
      <c r="Q50" s="216"/>
      <c r="R50" s="216"/>
      <c r="S50" s="216"/>
    </row>
    <row r="51" spans="1:20" x14ac:dyDescent="0.2">
      <c r="A51" s="609"/>
      <c r="B51" s="680"/>
      <c r="C51" s="460">
        <f>'soil analysis data_Project'!N51</f>
        <v>21.450000000000003</v>
      </c>
      <c r="D51" s="277">
        <f>'Soil data_baseline'!$G$28</f>
        <v>8.5040675999999991</v>
      </c>
      <c r="E51" s="277">
        <f t="shared" si="3"/>
        <v>12.945932400000004</v>
      </c>
      <c r="F51" s="281"/>
      <c r="G51" s="296"/>
      <c r="H51" s="300"/>
      <c r="I51" s="305"/>
      <c r="J51" s="305"/>
      <c r="K51" s="313"/>
      <c r="L51" s="223"/>
      <c r="M51" s="223"/>
      <c r="N51" s="221"/>
      <c r="P51" s="216"/>
      <c r="Q51" s="216"/>
      <c r="R51" s="216"/>
      <c r="S51" s="216"/>
    </row>
    <row r="52" spans="1:20" x14ac:dyDescent="0.2">
      <c r="A52" s="609"/>
      <c r="B52" s="680"/>
      <c r="C52" s="460">
        <f>'soil analysis data_Project'!N52</f>
        <v>29.64</v>
      </c>
      <c r="D52" s="277">
        <f>'Soil data_baseline'!$G$28</f>
        <v>8.5040675999999991</v>
      </c>
      <c r="E52" s="277">
        <f t="shared" si="3"/>
        <v>21.135932400000002</v>
      </c>
      <c r="F52" s="281"/>
      <c r="G52" s="296"/>
      <c r="H52" s="300"/>
      <c r="I52" s="305"/>
      <c r="J52" s="305"/>
      <c r="K52" s="313"/>
      <c r="L52" s="223"/>
      <c r="M52" s="223"/>
      <c r="N52" s="221"/>
      <c r="P52" s="216"/>
      <c r="Q52" s="216"/>
      <c r="R52" s="216"/>
      <c r="S52" s="216"/>
    </row>
    <row r="53" spans="1:20" x14ac:dyDescent="0.2">
      <c r="A53" s="609"/>
      <c r="B53" s="680"/>
      <c r="C53" s="460">
        <f>'soil analysis data_Project'!N53</f>
        <v>169.06500000000003</v>
      </c>
      <c r="D53" s="277">
        <f>'Soil data_baseline'!$G$28</f>
        <v>8.5040675999999991</v>
      </c>
      <c r="E53" s="277">
        <f t="shared" si="3"/>
        <v>160.56093240000001</v>
      </c>
      <c r="F53" s="281"/>
      <c r="G53" s="296"/>
      <c r="H53" s="300"/>
      <c r="I53" s="305"/>
      <c r="J53" s="305"/>
      <c r="K53" s="313"/>
      <c r="L53" s="223"/>
      <c r="M53" s="223"/>
      <c r="N53" s="221"/>
      <c r="P53" s="216"/>
      <c r="Q53" s="216"/>
      <c r="R53" s="216"/>
      <c r="S53" s="216"/>
    </row>
    <row r="54" spans="1:20" x14ac:dyDescent="0.2">
      <c r="A54" s="609"/>
      <c r="B54" s="680"/>
      <c r="C54" s="460">
        <f>'soil analysis data_Project'!N54</f>
        <v>25.588290000000001</v>
      </c>
      <c r="D54" s="277">
        <f>'Soil data_baseline'!$G$28</f>
        <v>8.5040675999999991</v>
      </c>
      <c r="E54" s="277">
        <f t="shared" si="3"/>
        <v>17.084222400000002</v>
      </c>
      <c r="F54" s="281"/>
      <c r="G54" s="296"/>
      <c r="H54" s="300"/>
      <c r="I54" s="305"/>
      <c r="J54" s="305"/>
      <c r="K54" s="313"/>
      <c r="L54" s="223"/>
      <c r="M54" s="223"/>
      <c r="N54" s="221"/>
      <c r="P54" s="216"/>
      <c r="Q54" s="216"/>
      <c r="R54" s="216"/>
      <c r="S54" s="216"/>
    </row>
    <row r="55" spans="1:20" ht="16" thickBot="1" x14ac:dyDescent="0.25">
      <c r="A55" s="610"/>
      <c r="B55" s="681"/>
      <c r="C55" s="461">
        <f>'soil analysis data_Project'!N55</f>
        <v>54.136320000000005</v>
      </c>
      <c r="D55" s="290">
        <f>'Soil data_baseline'!$G$28</f>
        <v>8.5040675999999991</v>
      </c>
      <c r="E55" s="290">
        <f t="shared" si="3"/>
        <v>45.632252400000006</v>
      </c>
      <c r="F55" s="293"/>
      <c r="G55" s="297"/>
      <c r="H55" s="300"/>
      <c r="I55" s="305"/>
      <c r="J55" s="305"/>
      <c r="K55" s="313"/>
      <c r="L55" s="223"/>
      <c r="M55" s="223"/>
      <c r="N55" s="221"/>
      <c r="P55" s="216"/>
      <c r="Q55" s="216"/>
      <c r="R55" s="216"/>
      <c r="S55" s="216"/>
      <c r="T55"/>
    </row>
    <row r="56" spans="1:20" x14ac:dyDescent="0.2">
      <c r="A56" s="608">
        <v>10</v>
      </c>
      <c r="B56" s="678">
        <f>Assumptions!D70</f>
        <v>2860.4270000000001</v>
      </c>
      <c r="C56" s="459">
        <f>'soil analysis data_Project'!N56</f>
        <v>11.806199999999999</v>
      </c>
      <c r="D56" s="284">
        <f>'Soil data_baseline'!$G$28</f>
        <v>8.5040675999999991</v>
      </c>
      <c r="E56" s="284">
        <f t="shared" si="3"/>
        <v>3.3021323999999996</v>
      </c>
      <c r="F56" s="285" t="s">
        <v>627</v>
      </c>
      <c r="G56" s="294">
        <f>ROUND(AVERAGE(E56:E58),2)</f>
        <v>11.47</v>
      </c>
      <c r="H56" s="299">
        <f>G56-1.96*G58</f>
        <v>3.143530873962801</v>
      </c>
      <c r="I56" s="299">
        <f>U18</f>
        <v>4.4657534246575343</v>
      </c>
      <c r="J56" s="299">
        <f>H56*B56</f>
        <v>8991.8405872167932</v>
      </c>
      <c r="K56" s="299">
        <f>(J56/I56)*44/12</f>
        <v>7382.8711569888401</v>
      </c>
      <c r="L56" s="217"/>
      <c r="M56" s="217"/>
      <c r="N56" s="221"/>
      <c r="O56"/>
      <c r="P56" s="216"/>
      <c r="Q56" s="218"/>
      <c r="R56" s="218"/>
      <c r="S56" s="218"/>
      <c r="T56"/>
    </row>
    <row r="57" spans="1:20" x14ac:dyDescent="0.2">
      <c r="A57" s="609"/>
      <c r="B57" s="676"/>
      <c r="C57" s="460">
        <f>'soil analysis data_Project'!N57</f>
        <v>18.463950000000004</v>
      </c>
      <c r="D57" s="277">
        <f>'Soil data_baseline'!$G$28</f>
        <v>8.5040675999999991</v>
      </c>
      <c r="E57" s="277">
        <f t="shared" si="3"/>
        <v>9.959882400000005</v>
      </c>
      <c r="F57" s="278" t="s">
        <v>628</v>
      </c>
      <c r="G57" s="295">
        <f>STDEVP(E56:E58)</f>
        <v>7.3580957009949266</v>
      </c>
      <c r="H57" s="300"/>
      <c r="I57" s="305"/>
      <c r="J57" s="305"/>
      <c r="K57" s="300"/>
      <c r="L57" s="223"/>
      <c r="M57" s="223"/>
      <c r="N57" s="221"/>
      <c r="O57"/>
      <c r="P57" s="216"/>
      <c r="Q57" s="216"/>
      <c r="R57" s="216"/>
      <c r="S57" s="216"/>
      <c r="T57"/>
    </row>
    <row r="58" spans="1:20" ht="16" thickBot="1" x14ac:dyDescent="0.25">
      <c r="A58" s="620"/>
      <c r="B58" s="677"/>
      <c r="C58" s="462">
        <f>'soil analysis data_Project'!N58</f>
        <v>29.64</v>
      </c>
      <c r="D58" s="309">
        <f>'Soil data_baseline'!$G$28</f>
        <v>8.5040675999999991</v>
      </c>
      <c r="E58" s="309">
        <f t="shared" si="3"/>
        <v>21.135932400000002</v>
      </c>
      <c r="F58" s="315" t="s">
        <v>625</v>
      </c>
      <c r="G58" s="316">
        <f>G57/SQRT(COUNT(E56:E58))</f>
        <v>4.2481985336924488</v>
      </c>
      <c r="H58" s="300"/>
      <c r="I58" s="305"/>
      <c r="J58" s="305"/>
      <c r="K58" s="300"/>
      <c r="L58" s="223"/>
      <c r="M58" s="223"/>
      <c r="N58" s="221"/>
      <c r="O58"/>
      <c r="P58" s="216"/>
      <c r="Q58" s="216"/>
      <c r="R58" s="216"/>
      <c r="S58" s="216"/>
      <c r="T58"/>
    </row>
    <row r="59" spans="1:20" ht="15" customHeight="1" x14ac:dyDescent="0.2">
      <c r="A59" s="608">
        <v>11</v>
      </c>
      <c r="B59" s="679">
        <f>Assumptions!D71</f>
        <v>9034.3230000000021</v>
      </c>
      <c r="C59" s="459">
        <f>'soil analysis data_Project'!N59</f>
        <v>8.9199000000000019</v>
      </c>
      <c r="D59" s="284">
        <f>'Soil data_baseline'!$G$28</f>
        <v>8.5040675999999991</v>
      </c>
      <c r="E59" s="284">
        <f t="shared" si="3"/>
        <v>0.41583240000000288</v>
      </c>
      <c r="F59" s="285" t="s">
        <v>627</v>
      </c>
      <c r="G59" s="294">
        <f>ROUND(AVERAGE(E59:E67),2)</f>
        <v>7.93</v>
      </c>
      <c r="H59" s="299">
        <f>G59-1.96*G61</f>
        <v>1.4669036251695839</v>
      </c>
      <c r="I59" s="299">
        <f>U19</f>
        <v>4.4465753424657537</v>
      </c>
      <c r="J59" s="299">
        <f>H59*B59</f>
        <v>13252.481159652954</v>
      </c>
      <c r="K59" s="312">
        <f>(J59/I59)*44/12</f>
        <v>10928.057477101378</v>
      </c>
      <c r="L59" s="217"/>
      <c r="M59" s="217"/>
      <c r="N59" s="221"/>
      <c r="O59"/>
      <c r="P59" s="216"/>
      <c r="Q59" s="218"/>
      <c r="R59" s="218"/>
      <c r="S59" s="218"/>
      <c r="T59"/>
    </row>
    <row r="60" spans="1:20" x14ac:dyDescent="0.2">
      <c r="A60" s="609"/>
      <c r="B60" s="680"/>
      <c r="C60" s="460">
        <f>'soil analysis data_Project'!N60</f>
        <v>9.8382806666666678</v>
      </c>
      <c r="D60" s="277">
        <f>'Soil data_baseline'!$G$28</f>
        <v>8.5040675999999991</v>
      </c>
      <c r="E60" s="277">
        <f t="shared" si="3"/>
        <v>1.3342130666666687</v>
      </c>
      <c r="F60" s="278" t="s">
        <v>628</v>
      </c>
      <c r="G60" s="295">
        <f>STDEVP(E59:E67)</f>
        <v>9.8924944512710447</v>
      </c>
      <c r="H60" s="300"/>
      <c r="I60" s="305"/>
      <c r="J60" s="305"/>
      <c r="K60" s="313"/>
      <c r="L60" s="223"/>
      <c r="M60" s="223"/>
      <c r="N60" s="221"/>
      <c r="O60"/>
      <c r="P60" s="216"/>
      <c r="Q60" s="216"/>
      <c r="R60" s="216"/>
      <c r="S60" s="216"/>
      <c r="T60"/>
    </row>
    <row r="61" spans="1:20" x14ac:dyDescent="0.2">
      <c r="A61" s="609"/>
      <c r="B61" s="680"/>
      <c r="C61" s="460">
        <f>'soil analysis data_Project'!N61</f>
        <v>10.428599999999999</v>
      </c>
      <c r="D61" s="277">
        <f>'Soil data_baseline'!$G$28</f>
        <v>8.5040675999999991</v>
      </c>
      <c r="E61" s="277">
        <f t="shared" si="3"/>
        <v>1.9245324000000004</v>
      </c>
      <c r="F61" s="278" t="s">
        <v>625</v>
      </c>
      <c r="G61" s="295">
        <f>G60/SQRT(COUNT(E59:E67))</f>
        <v>3.2974981504236816</v>
      </c>
      <c r="H61" s="300"/>
      <c r="I61" s="305"/>
      <c r="J61" s="305"/>
      <c r="K61" s="313"/>
      <c r="L61" s="223"/>
      <c r="M61" s="223"/>
      <c r="N61" s="221"/>
      <c r="O61"/>
      <c r="P61" s="216"/>
      <c r="Q61" s="216"/>
      <c r="R61" s="216"/>
      <c r="S61" s="216"/>
      <c r="T61"/>
    </row>
    <row r="62" spans="1:20" x14ac:dyDescent="0.2">
      <c r="A62" s="609"/>
      <c r="B62" s="680"/>
      <c r="C62" s="460">
        <f>'soil analysis data_Project'!N62</f>
        <v>33.75</v>
      </c>
      <c r="D62" s="277">
        <f>'Soil data_baseline'!$G$28</f>
        <v>8.5040675999999991</v>
      </c>
      <c r="E62" s="277">
        <f t="shared" si="3"/>
        <v>25.245932400000001</v>
      </c>
      <c r="F62" s="281"/>
      <c r="G62" s="296"/>
      <c r="H62" s="300"/>
      <c r="I62" s="305"/>
      <c r="J62" s="305"/>
      <c r="K62" s="313"/>
      <c r="L62" s="223"/>
      <c r="M62" s="223"/>
      <c r="N62" s="221"/>
      <c r="O62"/>
      <c r="P62" s="216"/>
      <c r="Q62" s="216"/>
      <c r="R62" s="216"/>
      <c r="S62" s="216"/>
      <c r="T62"/>
    </row>
    <row r="63" spans="1:20" x14ac:dyDescent="0.2">
      <c r="A63" s="609"/>
      <c r="B63" s="680"/>
      <c r="C63" s="460">
        <f>'soil analysis data_Project'!N63</f>
        <v>11.642400000000002</v>
      </c>
      <c r="D63" s="277">
        <f>'Soil data_baseline'!$G$28</f>
        <v>8.5040675999999991</v>
      </c>
      <c r="E63" s="277">
        <f t="shared" si="3"/>
        <v>3.138332400000003</v>
      </c>
      <c r="F63" s="281"/>
      <c r="G63" s="296"/>
      <c r="H63" s="300"/>
      <c r="I63" s="305"/>
      <c r="J63" s="305"/>
      <c r="K63" s="313"/>
      <c r="L63" s="223"/>
      <c r="M63" s="223"/>
      <c r="N63" s="221"/>
      <c r="O63"/>
      <c r="P63" s="216"/>
      <c r="Q63" s="216"/>
      <c r="R63" s="216"/>
      <c r="S63" s="216"/>
      <c r="T63"/>
    </row>
    <row r="64" spans="1:20" x14ac:dyDescent="0.2">
      <c r="A64" s="609"/>
      <c r="B64" s="680"/>
      <c r="C64" s="460">
        <f>'soil analysis data_Project'!N64</f>
        <v>13.297499999999999</v>
      </c>
      <c r="D64" s="277">
        <f>'Soil data_baseline'!$G$28</f>
        <v>8.5040675999999991</v>
      </c>
      <c r="E64" s="277">
        <f t="shared" si="3"/>
        <v>4.7934324000000004</v>
      </c>
      <c r="F64" s="281"/>
      <c r="G64" s="296"/>
      <c r="H64" s="300"/>
      <c r="I64" s="305"/>
      <c r="J64" s="305"/>
      <c r="K64" s="313"/>
      <c r="L64" s="223"/>
      <c r="M64" s="223"/>
      <c r="N64" s="221"/>
      <c r="O64"/>
      <c r="P64" s="216"/>
      <c r="Q64" s="216"/>
      <c r="R64" s="216"/>
      <c r="S64" s="216"/>
    </row>
    <row r="65" spans="1:19" x14ac:dyDescent="0.2">
      <c r="A65" s="609"/>
      <c r="B65" s="680"/>
      <c r="C65" s="460">
        <f>'soil analysis data_Project'!N65</f>
        <v>14.605919999999998</v>
      </c>
      <c r="D65" s="277">
        <f>'Soil data_baseline'!$G$28</f>
        <v>8.5040675999999991</v>
      </c>
      <c r="E65" s="277">
        <f t="shared" si="3"/>
        <v>6.1018523999999985</v>
      </c>
      <c r="F65" s="281"/>
      <c r="G65" s="296"/>
      <c r="H65" s="300"/>
      <c r="I65" s="305"/>
      <c r="J65" s="305"/>
      <c r="K65" s="313"/>
      <c r="L65" s="223"/>
      <c r="M65" s="223"/>
      <c r="N65" s="221"/>
      <c r="O65"/>
      <c r="P65" s="216"/>
      <c r="Q65" s="216"/>
      <c r="R65" s="216"/>
      <c r="S65" s="216"/>
    </row>
    <row r="66" spans="1:19" x14ac:dyDescent="0.2">
      <c r="A66" s="609"/>
      <c r="B66" s="680"/>
      <c r="C66" s="460">
        <f>'soil analysis data_Project'!N66</f>
        <v>9.8522999999999996</v>
      </c>
      <c r="D66" s="277">
        <f>'Soil data_baseline'!$G$28</f>
        <v>8.5040675999999991</v>
      </c>
      <c r="E66" s="277">
        <f t="shared" si="3"/>
        <v>1.3482324000000006</v>
      </c>
      <c r="F66" s="281"/>
      <c r="G66" s="296"/>
      <c r="H66" s="300"/>
      <c r="I66" s="305"/>
      <c r="J66" s="305"/>
      <c r="K66" s="313"/>
      <c r="L66" s="223"/>
      <c r="M66" s="223"/>
      <c r="N66" s="221"/>
      <c r="O66"/>
      <c r="P66" s="216"/>
      <c r="Q66" s="216"/>
      <c r="R66" s="216"/>
      <c r="S66" s="216"/>
    </row>
    <row r="67" spans="1:19" ht="16" thickBot="1" x14ac:dyDescent="0.25">
      <c r="A67" s="610"/>
      <c r="B67" s="681"/>
      <c r="C67" s="461">
        <f>'soil analysis data_Project'!N67</f>
        <v>35.550000000000004</v>
      </c>
      <c r="D67" s="290">
        <f>'Soil data_baseline'!$G$28</f>
        <v>8.5040675999999991</v>
      </c>
      <c r="E67" s="290">
        <f t="shared" si="3"/>
        <v>27.045932400000005</v>
      </c>
      <c r="F67" s="465"/>
      <c r="G67" s="466"/>
      <c r="H67" s="300"/>
      <c r="I67" s="305"/>
      <c r="J67" s="305"/>
      <c r="K67" s="313"/>
      <c r="L67" s="223"/>
      <c r="M67" s="223"/>
      <c r="N67" s="221"/>
      <c r="O67"/>
      <c r="P67" s="216"/>
      <c r="Q67" s="216"/>
      <c r="R67" s="216"/>
      <c r="S67" s="216"/>
    </row>
    <row r="68" spans="1:19" x14ac:dyDescent="0.2">
      <c r="A68" s="608">
        <v>12</v>
      </c>
      <c r="B68" s="671">
        <f>Assumptions!D72</f>
        <v>2315.3180000000002</v>
      </c>
      <c r="C68" s="459">
        <f>'soil analysis data_Project'!N68</f>
        <v>30.800250000000002</v>
      </c>
      <c r="D68" s="284">
        <f>'Soil data_baseline'!$G$28</f>
        <v>8.5040675999999991</v>
      </c>
      <c r="E68" s="284">
        <f t="shared" si="3"/>
        <v>22.296182400000003</v>
      </c>
      <c r="F68" s="285" t="s">
        <v>627</v>
      </c>
      <c r="G68" s="294">
        <f>ROUND(AVERAGE(E68:E70),2)</f>
        <v>25.08</v>
      </c>
      <c r="H68" s="299">
        <f>G68-1.96*G70</f>
        <v>3.6089931167352312</v>
      </c>
      <c r="I68" s="299">
        <f>U20</f>
        <v>4.5041095890410956</v>
      </c>
      <c r="J68" s="299">
        <f>H68*B68</f>
        <v>8355.966725053182</v>
      </c>
      <c r="K68" s="299">
        <f>(J68/I68)*44/12</f>
        <v>6802.3532848922405</v>
      </c>
      <c r="L68" s="217"/>
      <c r="M68" s="217"/>
      <c r="N68" s="221"/>
      <c r="P68" s="216"/>
      <c r="Q68" s="218"/>
      <c r="R68" s="218"/>
      <c r="S68" s="218"/>
    </row>
    <row r="69" spans="1:19" x14ac:dyDescent="0.2">
      <c r="A69" s="609"/>
      <c r="B69" s="672"/>
      <c r="C69" s="460">
        <f>'soil analysis data_Project'!N69</f>
        <v>58.0944</v>
      </c>
      <c r="D69" s="277">
        <f>'Soil data_baseline'!$G$28</f>
        <v>8.5040675999999991</v>
      </c>
      <c r="E69" s="277">
        <f t="shared" si="3"/>
        <v>49.590332400000001</v>
      </c>
      <c r="F69" s="278" t="s">
        <v>628</v>
      </c>
      <c r="G69" s="295">
        <f>STDEVP(E68:E70)</f>
        <v>18.973915720140642</v>
      </c>
      <c r="H69" s="300"/>
      <c r="I69" s="305"/>
      <c r="J69" s="305"/>
      <c r="K69" s="300"/>
      <c r="L69" s="223"/>
      <c r="M69" s="223"/>
      <c r="N69" s="221"/>
      <c r="P69" s="216"/>
      <c r="Q69" s="216"/>
      <c r="R69" s="216"/>
      <c r="S69" s="216"/>
    </row>
    <row r="70" spans="1:19" ht="16" thickBot="1" x14ac:dyDescent="0.25">
      <c r="A70" s="610"/>
      <c r="B70" s="686"/>
      <c r="C70" s="461">
        <f>'soil analysis data_Project'!N70</f>
        <v>11.869499999999999</v>
      </c>
      <c r="D70" s="290">
        <f>'Soil data_baseline'!$G$28</f>
        <v>8.5040675999999991</v>
      </c>
      <c r="E70" s="290">
        <f t="shared" si="3"/>
        <v>3.3654323999999995</v>
      </c>
      <c r="F70" s="291" t="s">
        <v>625</v>
      </c>
      <c r="G70" s="314">
        <f>G69/SQRT(COUNT(E68:E70))</f>
        <v>10.954595348604473</v>
      </c>
      <c r="H70" s="300"/>
      <c r="I70" s="305"/>
      <c r="J70" s="305"/>
      <c r="K70" s="300"/>
      <c r="L70" s="223"/>
      <c r="M70" s="223"/>
      <c r="N70" s="221"/>
      <c r="P70" s="216"/>
      <c r="Q70" s="216"/>
      <c r="R70" s="216"/>
      <c r="S70" s="216"/>
    </row>
    <row r="71" spans="1:19" x14ac:dyDescent="0.2">
      <c r="A71" s="608">
        <v>13</v>
      </c>
      <c r="B71" s="679">
        <f>Assumptions!D73</f>
        <v>5717.201</v>
      </c>
      <c r="C71" s="459">
        <f>'soil analysis data_Project'!N71</f>
        <v>16.556400000000004</v>
      </c>
      <c r="D71" s="284">
        <f>'Soil data_baseline'!$G$28</f>
        <v>8.5040675999999991</v>
      </c>
      <c r="E71" s="284">
        <f t="shared" si="3"/>
        <v>8.0523324000000045</v>
      </c>
      <c r="F71" s="285" t="s">
        <v>627</v>
      </c>
      <c r="G71" s="294">
        <f>ROUND(AVERAGE(E71:E76),2)</f>
        <v>7.8</v>
      </c>
      <c r="H71" s="299">
        <f>G71-1.96*G73</f>
        <v>3.2056192923694562</v>
      </c>
      <c r="I71" s="299">
        <f>U21</f>
        <v>4.4876712328767123</v>
      </c>
      <c r="J71" s="299">
        <f>H71*B71</f>
        <v>18327.169823953947</v>
      </c>
      <c r="K71" s="299">
        <f>(J71/I71)*44/12</f>
        <v>14974.27489686103</v>
      </c>
      <c r="L71" s="217"/>
      <c r="M71" s="217"/>
      <c r="N71" s="221"/>
      <c r="P71" s="216"/>
      <c r="Q71" s="218"/>
      <c r="R71" s="218"/>
      <c r="S71" s="218"/>
    </row>
    <row r="72" spans="1:19" x14ac:dyDescent="0.2">
      <c r="A72" s="609"/>
      <c r="B72" s="680"/>
      <c r="C72" s="460">
        <f>'soil analysis data_Project'!N72</f>
        <v>12.2148</v>
      </c>
      <c r="D72" s="277">
        <f>'Soil data_baseline'!$G$28</f>
        <v>8.5040675999999991</v>
      </c>
      <c r="E72" s="277">
        <f t="shared" si="3"/>
        <v>3.7107324000000013</v>
      </c>
      <c r="F72" s="278" t="s">
        <v>628</v>
      </c>
      <c r="G72" s="295">
        <f>STDEVP(E71:E76)</f>
        <v>5.7417798049907836</v>
      </c>
      <c r="H72" s="300"/>
      <c r="I72" s="305"/>
      <c r="J72" s="305"/>
      <c r="K72" s="300"/>
      <c r="L72" s="223"/>
      <c r="M72" s="223"/>
      <c r="N72" s="221"/>
      <c r="P72" s="216"/>
      <c r="Q72" s="216"/>
      <c r="R72" s="216"/>
      <c r="S72" s="216"/>
    </row>
    <row r="73" spans="1:19" x14ac:dyDescent="0.2">
      <c r="A73" s="609"/>
      <c r="B73" s="680"/>
      <c r="C73" s="460">
        <f>'soil analysis data_Project'!N73</f>
        <v>8.586269999999999</v>
      </c>
      <c r="D73" s="277">
        <f>'Soil data_baseline'!$G$28</f>
        <v>8.5040675999999991</v>
      </c>
      <c r="E73" s="277">
        <f t="shared" si="3"/>
        <v>8.2202399999999898E-2</v>
      </c>
      <c r="F73" s="278" t="s">
        <v>625</v>
      </c>
      <c r="G73" s="295">
        <f>G72/SQRT(COUNT(E71:E76))</f>
        <v>2.3440717896074204</v>
      </c>
      <c r="H73" s="300"/>
      <c r="I73" s="305"/>
      <c r="J73" s="305"/>
      <c r="K73" s="300"/>
      <c r="L73" s="223"/>
      <c r="M73" s="223"/>
      <c r="N73" s="221"/>
      <c r="P73" s="216"/>
      <c r="Q73" s="216"/>
      <c r="R73" s="216"/>
      <c r="S73" s="216"/>
    </row>
    <row r="74" spans="1:19" x14ac:dyDescent="0.2">
      <c r="A74" s="609"/>
      <c r="B74" s="680"/>
      <c r="C74" s="460">
        <f>'soil analysis data_Project'!N74</f>
        <v>27.215999999999998</v>
      </c>
      <c r="D74" s="277">
        <f>'Soil data_baseline'!$G$28</f>
        <v>8.5040675999999991</v>
      </c>
      <c r="E74" s="277">
        <f t="shared" si="3"/>
        <v>18.711932399999998</v>
      </c>
      <c r="F74" s="281"/>
      <c r="G74" s="296"/>
      <c r="H74" s="300"/>
      <c r="I74" s="305"/>
      <c r="J74" s="305"/>
      <c r="K74" s="300"/>
      <c r="L74" s="223"/>
      <c r="M74" s="223"/>
      <c r="N74" s="221"/>
      <c r="P74" s="216"/>
      <c r="Q74" s="216"/>
      <c r="R74" s="216"/>
      <c r="S74" s="216"/>
    </row>
    <row r="75" spans="1:19" x14ac:dyDescent="0.2">
      <c r="A75" s="609"/>
      <c r="B75" s="680"/>
      <c r="C75" s="460">
        <f>'soil analysis data_Project'!N75</f>
        <v>17.659950000000006</v>
      </c>
      <c r="D75" s="277">
        <f>'Soil data_baseline'!$G$28</f>
        <v>8.5040675999999991</v>
      </c>
      <c r="E75" s="277">
        <f t="shared" si="3"/>
        <v>9.1558824000000065</v>
      </c>
      <c r="F75" s="281"/>
      <c r="G75" s="296"/>
      <c r="H75" s="300"/>
      <c r="I75" s="305"/>
      <c r="J75" s="305"/>
      <c r="K75" s="300"/>
      <c r="L75" s="223"/>
      <c r="M75" s="223"/>
      <c r="N75" s="221"/>
      <c r="P75" s="216"/>
      <c r="Q75" s="216"/>
      <c r="R75" s="216"/>
      <c r="S75" s="216"/>
    </row>
    <row r="76" spans="1:19" ht="16" thickBot="1" x14ac:dyDescent="0.25">
      <c r="A76" s="610"/>
      <c r="B76" s="681"/>
      <c r="C76" s="461">
        <f>'soil analysis data_Project'!N76</f>
        <v>15.562800000000003</v>
      </c>
      <c r="D76" s="290">
        <f>'Soil data_baseline'!$G$28</f>
        <v>8.5040675999999991</v>
      </c>
      <c r="E76" s="290">
        <f t="shared" ref="E76:E133" si="4">C76-D76</f>
        <v>7.0587324000000038</v>
      </c>
      <c r="F76" s="293"/>
      <c r="G76" s="297"/>
      <c r="H76" s="300"/>
      <c r="I76" s="305"/>
      <c r="J76" s="305"/>
      <c r="K76" s="300"/>
      <c r="L76" s="223"/>
      <c r="M76" s="223"/>
      <c r="N76" s="221"/>
      <c r="P76" s="216"/>
      <c r="Q76" s="216"/>
      <c r="R76" s="216"/>
      <c r="S76" s="216"/>
    </row>
    <row r="77" spans="1:19" x14ac:dyDescent="0.2">
      <c r="A77" s="608">
        <v>14</v>
      </c>
      <c r="B77" s="679">
        <f>Assumptions!D74</f>
        <v>3768.0449999999996</v>
      </c>
      <c r="C77" s="459">
        <f>'soil analysis data_Project'!N77</f>
        <v>10.333127200000002</v>
      </c>
      <c r="D77" s="284">
        <f>'Soil data_baseline'!$G$28</f>
        <v>8.5040675999999991</v>
      </c>
      <c r="E77" s="284">
        <f t="shared" si="4"/>
        <v>1.8290596000000026</v>
      </c>
      <c r="F77" s="285" t="s">
        <v>627</v>
      </c>
      <c r="G77" s="294">
        <f>ROUND(AVERAGE(E77:E82),2)</f>
        <v>18.89</v>
      </c>
      <c r="H77" s="299">
        <f>G77-1.96*G79</f>
        <v>2.9500834974091816</v>
      </c>
      <c r="I77" s="299">
        <f>U22</f>
        <v>4.5041095890410956</v>
      </c>
      <c r="J77" s="299">
        <f>H77*B77</f>
        <v>11116.047371995179</v>
      </c>
      <c r="K77" s="299">
        <f>(J77/I77)*44/12</f>
        <v>9049.2559202272187</v>
      </c>
      <c r="L77" s="217"/>
      <c r="M77" s="217"/>
      <c r="N77" s="221"/>
      <c r="P77" s="216"/>
      <c r="Q77" s="218"/>
      <c r="R77" s="218"/>
      <c r="S77" s="218"/>
    </row>
    <row r="78" spans="1:19" x14ac:dyDescent="0.2">
      <c r="A78" s="609"/>
      <c r="B78" s="680"/>
      <c r="C78" s="460">
        <f>'soil analysis data_Project'!N78</f>
        <v>25.8</v>
      </c>
      <c r="D78" s="277">
        <f>'Soil data_baseline'!$G$28</f>
        <v>8.5040675999999991</v>
      </c>
      <c r="E78" s="277">
        <f t="shared" si="4"/>
        <v>17.295932400000002</v>
      </c>
      <c r="F78" s="278" t="s">
        <v>628</v>
      </c>
      <c r="G78" s="295">
        <f>STDEVP(E77:E82)</f>
        <v>19.920745905059448</v>
      </c>
      <c r="H78" s="300"/>
      <c r="I78" s="305"/>
      <c r="J78" s="305"/>
      <c r="K78" s="300"/>
      <c r="L78" s="223"/>
      <c r="M78" s="223"/>
      <c r="N78" s="221"/>
      <c r="P78" s="216"/>
      <c r="Q78" s="216"/>
      <c r="R78" s="216"/>
      <c r="S78" s="216"/>
    </row>
    <row r="79" spans="1:19" x14ac:dyDescent="0.2">
      <c r="A79" s="609"/>
      <c r="B79" s="680"/>
      <c r="C79" s="460">
        <f>'soil analysis data_Project'!N79</f>
        <v>21</v>
      </c>
      <c r="D79" s="277">
        <f>'Soil data_baseline'!$G$28</f>
        <v>8.5040675999999991</v>
      </c>
      <c r="E79" s="277">
        <f t="shared" si="4"/>
        <v>12.495932400000001</v>
      </c>
      <c r="F79" s="278" t="s">
        <v>625</v>
      </c>
      <c r="G79" s="295">
        <f>G78/SQRT(COUNT(E77:E82))</f>
        <v>8.1326104605055196</v>
      </c>
      <c r="H79" s="300"/>
      <c r="I79" s="305"/>
      <c r="J79" s="305"/>
      <c r="K79" s="300"/>
      <c r="L79" s="223"/>
      <c r="M79" s="223"/>
      <c r="N79" s="221"/>
      <c r="P79" s="216"/>
      <c r="Q79" s="216"/>
      <c r="R79" s="216"/>
      <c r="S79" s="216"/>
    </row>
    <row r="80" spans="1:19" x14ac:dyDescent="0.2">
      <c r="A80" s="609"/>
      <c r="B80" s="680"/>
      <c r="C80" s="460">
        <f>'soil analysis data_Project'!N80</f>
        <v>18.600000000000001</v>
      </c>
      <c r="D80" s="277">
        <f>'Soil data_baseline'!$G$28</f>
        <v>8.5040675999999991</v>
      </c>
      <c r="E80" s="277">
        <f t="shared" si="4"/>
        <v>10.095932400000002</v>
      </c>
      <c r="F80" s="281"/>
      <c r="G80" s="296"/>
      <c r="H80" s="300"/>
      <c r="I80" s="305"/>
      <c r="J80" s="305"/>
      <c r="K80" s="300"/>
      <c r="L80" s="223"/>
      <c r="M80" s="223"/>
      <c r="N80" s="221"/>
      <c r="P80" s="216"/>
      <c r="Q80" s="216"/>
      <c r="R80" s="216"/>
      <c r="S80" s="216"/>
    </row>
    <row r="81" spans="1:19" x14ac:dyDescent="0.2">
      <c r="A81" s="609"/>
      <c r="B81" s="680"/>
      <c r="C81" s="460">
        <f>'soil analysis data_Project'!N81</f>
        <v>70.741439999999997</v>
      </c>
      <c r="D81" s="277">
        <f>'Soil data_baseline'!$G$28</f>
        <v>8.5040675999999991</v>
      </c>
      <c r="E81" s="277">
        <f t="shared" si="4"/>
        <v>62.237372399999998</v>
      </c>
      <c r="F81" s="281"/>
      <c r="G81" s="296"/>
      <c r="H81" s="300"/>
      <c r="I81" s="305"/>
      <c r="J81" s="305"/>
      <c r="K81" s="300"/>
      <c r="L81" s="223"/>
      <c r="M81" s="223"/>
      <c r="N81" s="221"/>
      <c r="P81" s="216"/>
      <c r="Q81" s="216"/>
      <c r="R81" s="216"/>
      <c r="S81" s="216"/>
    </row>
    <row r="82" spans="1:19" ht="16" thickBot="1" x14ac:dyDescent="0.25">
      <c r="A82" s="610"/>
      <c r="B82" s="680"/>
      <c r="C82" s="461">
        <f>'soil analysis data_Project'!N82</f>
        <v>17.897459999999999</v>
      </c>
      <c r="D82" s="290">
        <f>'Soil data_baseline'!$G$28</f>
        <v>8.5040675999999991</v>
      </c>
      <c r="E82" s="290">
        <f t="shared" si="4"/>
        <v>9.3933923999999998</v>
      </c>
      <c r="F82" s="293"/>
      <c r="G82" s="297"/>
      <c r="H82" s="300"/>
      <c r="I82" s="305"/>
      <c r="J82" s="305"/>
      <c r="K82" s="300"/>
      <c r="L82" s="223"/>
      <c r="M82" s="223"/>
      <c r="N82" s="221"/>
      <c r="P82" s="216"/>
      <c r="Q82" s="216"/>
      <c r="R82" s="216"/>
      <c r="S82" s="216"/>
    </row>
    <row r="83" spans="1:19" x14ac:dyDescent="0.2">
      <c r="A83" s="608">
        <v>15</v>
      </c>
      <c r="B83" s="678">
        <f>Assumptions!D75</f>
        <v>236.66199999999998</v>
      </c>
      <c r="C83" s="459">
        <f>'soil analysis data_Project'!N83</f>
        <v>8.64</v>
      </c>
      <c r="D83" s="284">
        <f>'Soil data_baseline'!$G$28</f>
        <v>8.5040675999999991</v>
      </c>
      <c r="E83" s="284">
        <f t="shared" si="4"/>
        <v>0.13593240000000151</v>
      </c>
      <c r="F83" s="285" t="s">
        <v>627</v>
      </c>
      <c r="G83" s="294">
        <f>ROUND(AVERAGE(E83:E85),2)</f>
        <v>12.29</v>
      </c>
      <c r="H83" s="299">
        <f>G83-1.96*G85</f>
        <v>2.0011760672076786</v>
      </c>
      <c r="I83" s="299">
        <f>U23</f>
        <v>4.4767123287671229</v>
      </c>
      <c r="J83" s="299">
        <f>H83*B83</f>
        <v>473.60233041750359</v>
      </c>
      <c r="K83" s="299">
        <f>(J83/I83)*44/12</f>
        <v>387.90562150678852</v>
      </c>
      <c r="L83" s="217"/>
      <c r="M83" s="217"/>
      <c r="N83" s="221"/>
      <c r="P83" s="216"/>
      <c r="Q83" s="218"/>
      <c r="R83" s="218"/>
      <c r="S83" s="218"/>
    </row>
    <row r="84" spans="1:19" x14ac:dyDescent="0.2">
      <c r="A84" s="609"/>
      <c r="B84" s="676"/>
      <c r="C84" s="460">
        <f>'soil analysis data_Project'!N84</f>
        <v>30.510000000000005</v>
      </c>
      <c r="D84" s="277">
        <f>'Soil data_baseline'!$G$28</f>
        <v>8.5040675999999991</v>
      </c>
      <c r="E84" s="277">
        <f t="shared" si="4"/>
        <v>22.005932400000006</v>
      </c>
      <c r="F84" s="278" t="s">
        <v>628</v>
      </c>
      <c r="G84" s="295">
        <f>STDEVP(E83:E85)</f>
        <v>9.0922274498606797</v>
      </c>
      <c r="H84" s="300"/>
      <c r="I84" s="305"/>
      <c r="J84" s="305"/>
      <c r="K84" s="300"/>
      <c r="L84" s="223"/>
      <c r="M84" s="223"/>
      <c r="N84" s="221"/>
      <c r="P84" s="216"/>
      <c r="Q84" s="216"/>
      <c r="R84" s="216"/>
      <c r="S84" s="216"/>
    </row>
    <row r="85" spans="1:19" ht="16" thickBot="1" x14ac:dyDescent="0.25">
      <c r="A85" s="610"/>
      <c r="B85" s="685"/>
      <c r="C85" s="461">
        <f>'soil analysis data_Project'!N85</f>
        <v>23.220000000000002</v>
      </c>
      <c r="D85" s="290">
        <f>'Soil data_baseline'!$G$28</f>
        <v>8.5040675999999991</v>
      </c>
      <c r="E85" s="290">
        <f t="shared" si="4"/>
        <v>14.715932400000003</v>
      </c>
      <c r="F85" s="291" t="s">
        <v>625</v>
      </c>
      <c r="G85" s="314">
        <f>G84/SQRT(COUNT(E83:E85))</f>
        <v>5.249399965710368</v>
      </c>
      <c r="H85" s="300"/>
      <c r="I85" s="305"/>
      <c r="J85" s="305"/>
      <c r="K85" s="300"/>
      <c r="L85" s="223"/>
      <c r="M85" s="223"/>
      <c r="N85" s="221"/>
      <c r="P85" s="216"/>
      <c r="Q85" s="216"/>
      <c r="R85" s="216"/>
      <c r="S85" s="216"/>
    </row>
    <row r="86" spans="1:19" ht="15" customHeight="1" x14ac:dyDescent="0.2">
      <c r="A86" s="608">
        <v>16</v>
      </c>
      <c r="B86" s="679">
        <f>Assumptions!D76</f>
        <v>6640.8160000000016</v>
      </c>
      <c r="C86" s="459">
        <f>'soil analysis data_Project'!N86</f>
        <v>16.117920000000002</v>
      </c>
      <c r="D86" s="284">
        <f>'Soil data_baseline'!$G$28</f>
        <v>8.5040675999999991</v>
      </c>
      <c r="E86" s="284">
        <f t="shared" si="4"/>
        <v>7.6138524000000025</v>
      </c>
      <c r="F86" s="285" t="s">
        <v>627</v>
      </c>
      <c r="G86" s="294">
        <f>ROUND(AVERAGE(E86:E94),2)</f>
        <v>41.97</v>
      </c>
      <c r="H86" s="302">
        <f>G86-1.96*G88</f>
        <v>2.0856998996089615</v>
      </c>
      <c r="I86" s="299">
        <f>U24</f>
        <v>4.4219178082191783</v>
      </c>
      <c r="J86" s="312">
        <f>H86*B86</f>
        <v>13850.749264521588</v>
      </c>
      <c r="K86" s="299">
        <f>(J86/I86)*44/12</f>
        <v>11485.080193526264</v>
      </c>
      <c r="L86" s="217"/>
      <c r="M86" s="217"/>
      <c r="N86" s="221"/>
      <c r="P86" s="216"/>
      <c r="Q86" s="218"/>
      <c r="R86" s="218"/>
      <c r="S86" s="218"/>
    </row>
    <row r="87" spans="1:19" x14ac:dyDescent="0.2">
      <c r="A87" s="609"/>
      <c r="B87" s="680"/>
      <c r="C87" s="460">
        <f>'soil analysis data_Project'!N87</f>
        <v>22.581000000000003</v>
      </c>
      <c r="D87" s="277">
        <f>'Soil data_baseline'!$G$28</f>
        <v>8.5040675999999991</v>
      </c>
      <c r="E87" s="277">
        <f t="shared" si="4"/>
        <v>14.076932400000004</v>
      </c>
      <c r="F87" s="278" t="s">
        <v>628</v>
      </c>
      <c r="G87" s="295">
        <f>STDEVP(E86:E94)</f>
        <v>61.047398112843425</v>
      </c>
      <c r="H87" s="303"/>
      <c r="I87" s="305"/>
      <c r="J87" s="467"/>
      <c r="K87" s="300"/>
      <c r="L87" s="223"/>
      <c r="M87" s="223"/>
      <c r="N87" s="221"/>
      <c r="P87" s="216"/>
      <c r="Q87" s="216"/>
      <c r="R87" s="216"/>
      <c r="S87" s="216"/>
    </row>
    <row r="88" spans="1:19" x14ac:dyDescent="0.2">
      <c r="A88" s="609"/>
      <c r="B88" s="680"/>
      <c r="C88" s="460">
        <f>'soil analysis data_Project'!N88</f>
        <v>40.210380000000001</v>
      </c>
      <c r="D88" s="277">
        <f>'Soil data_baseline'!$G$28</f>
        <v>8.5040675999999991</v>
      </c>
      <c r="E88" s="277">
        <f t="shared" si="4"/>
        <v>31.706312400000002</v>
      </c>
      <c r="F88" s="278" t="s">
        <v>625</v>
      </c>
      <c r="G88" s="295">
        <f>G87/SQRT(COUNT(E86:E94))</f>
        <v>20.349132704281143</v>
      </c>
      <c r="H88" s="303"/>
      <c r="I88" s="305"/>
      <c r="J88" s="467"/>
      <c r="K88" s="300"/>
      <c r="L88" s="223"/>
      <c r="M88" s="223"/>
      <c r="N88" s="221"/>
      <c r="P88" s="216"/>
      <c r="Q88" s="216"/>
      <c r="R88" s="216"/>
      <c r="S88" s="216"/>
    </row>
    <row r="89" spans="1:19" x14ac:dyDescent="0.2">
      <c r="A89" s="609"/>
      <c r="B89" s="680"/>
      <c r="C89" s="460">
        <f>'soil analysis data_Project'!N89</f>
        <v>22.680000000000003</v>
      </c>
      <c r="D89" s="277">
        <f>'Soil data_baseline'!$G$28</f>
        <v>8.5040675999999991</v>
      </c>
      <c r="E89" s="277">
        <f t="shared" si="4"/>
        <v>14.175932400000004</v>
      </c>
      <c r="F89" s="281"/>
      <c r="G89" s="296"/>
      <c r="H89" s="303"/>
      <c r="I89" s="305"/>
      <c r="J89" s="467"/>
      <c r="K89" s="300"/>
      <c r="L89" s="223"/>
      <c r="M89" s="223"/>
      <c r="N89" s="221"/>
      <c r="P89" s="216"/>
      <c r="Q89" s="216"/>
      <c r="R89" s="216"/>
      <c r="S89" s="216"/>
    </row>
    <row r="90" spans="1:19" x14ac:dyDescent="0.2">
      <c r="A90" s="609"/>
      <c r="B90" s="680"/>
      <c r="C90" s="460">
        <f>'soil analysis data_Project'!N90</f>
        <v>29.160000000000004</v>
      </c>
      <c r="D90" s="277">
        <f>'Soil data_baseline'!$G$28</f>
        <v>8.5040675999999991</v>
      </c>
      <c r="E90" s="277">
        <f t="shared" si="4"/>
        <v>20.655932400000005</v>
      </c>
      <c r="F90" s="281"/>
      <c r="G90" s="296"/>
      <c r="H90" s="303"/>
      <c r="I90" s="305"/>
      <c r="J90" s="467"/>
      <c r="K90" s="300"/>
      <c r="L90" s="223"/>
      <c r="M90" s="223"/>
      <c r="N90" s="221"/>
      <c r="P90" s="216"/>
      <c r="Q90" s="216"/>
      <c r="R90" s="216"/>
      <c r="S90" s="216"/>
    </row>
    <row r="91" spans="1:19" x14ac:dyDescent="0.2">
      <c r="A91" s="609"/>
      <c r="B91" s="680"/>
      <c r="C91" s="460">
        <f>'soil analysis data_Project'!N91</f>
        <v>34.020000000000003</v>
      </c>
      <c r="D91" s="277">
        <f>'Soil data_baseline'!$G$28</f>
        <v>8.5040675999999991</v>
      </c>
      <c r="E91" s="277">
        <f t="shared" si="4"/>
        <v>25.515932400000004</v>
      </c>
      <c r="F91" s="281"/>
      <c r="G91" s="296"/>
      <c r="H91" s="303"/>
      <c r="I91" s="305"/>
      <c r="J91" s="467"/>
      <c r="K91" s="300"/>
      <c r="L91" s="223"/>
      <c r="M91" s="223"/>
      <c r="N91" s="221"/>
      <c r="P91" s="216"/>
      <c r="Q91" s="216"/>
      <c r="R91" s="216"/>
      <c r="S91" s="216"/>
    </row>
    <row r="92" spans="1:19" x14ac:dyDescent="0.2">
      <c r="A92" s="609"/>
      <c r="B92" s="680"/>
      <c r="C92" s="460">
        <f>'soil analysis data_Project'!N92</f>
        <v>221.98109999999997</v>
      </c>
      <c r="D92" s="277">
        <f>'Soil data_baseline'!$G$28</f>
        <v>8.5040675999999991</v>
      </c>
      <c r="E92" s="277">
        <f t="shared" si="4"/>
        <v>213.47703239999998</v>
      </c>
      <c r="F92" s="281"/>
      <c r="G92" s="296"/>
      <c r="H92" s="303"/>
      <c r="I92" s="305"/>
      <c r="J92" s="467"/>
      <c r="K92" s="300"/>
      <c r="L92" s="223"/>
      <c r="M92" s="223"/>
      <c r="N92" s="221"/>
      <c r="P92" s="216"/>
      <c r="Q92" s="216"/>
      <c r="R92" s="216"/>
      <c r="S92" s="216"/>
    </row>
    <row r="93" spans="1:19" x14ac:dyDescent="0.2">
      <c r="A93" s="609"/>
      <c r="B93" s="680"/>
      <c r="C93" s="460">
        <f>'soil analysis data_Project'!N93</f>
        <v>35.68656</v>
      </c>
      <c r="D93" s="277">
        <f>'Soil data_baseline'!$G$28</f>
        <v>8.5040675999999991</v>
      </c>
      <c r="E93" s="277">
        <f t="shared" si="4"/>
        <v>27.182492400000001</v>
      </c>
      <c r="F93" s="281"/>
      <c r="G93" s="296"/>
      <c r="H93" s="303"/>
      <c r="I93" s="305"/>
      <c r="J93" s="467"/>
      <c r="K93" s="300"/>
      <c r="L93" s="223"/>
      <c r="M93" s="223"/>
      <c r="N93" s="221"/>
      <c r="P93" s="216"/>
      <c r="Q93" s="216"/>
      <c r="R93" s="216"/>
      <c r="S93" s="216"/>
    </row>
    <row r="94" spans="1:19" ht="16" thickBot="1" x14ac:dyDescent="0.25">
      <c r="A94" s="610"/>
      <c r="B94" s="681"/>
      <c r="C94" s="461">
        <f>'soil analysis data_Project'!N94</f>
        <v>31.860000000000003</v>
      </c>
      <c r="D94" s="290">
        <f>'Soil data_baseline'!$G$28</f>
        <v>8.5040675999999991</v>
      </c>
      <c r="E94" s="290">
        <f t="shared" si="4"/>
        <v>23.355932400000004</v>
      </c>
      <c r="F94" s="291"/>
      <c r="G94" s="314"/>
      <c r="H94" s="303"/>
      <c r="I94" s="305"/>
      <c r="J94" s="467"/>
      <c r="K94" s="300"/>
      <c r="L94" s="223"/>
      <c r="M94" s="223"/>
      <c r="N94" s="221"/>
      <c r="P94" s="216"/>
      <c r="Q94" s="216"/>
      <c r="R94" s="216"/>
      <c r="S94" s="216"/>
    </row>
    <row r="95" spans="1:19" x14ac:dyDescent="0.2">
      <c r="A95" s="608">
        <v>17</v>
      </c>
      <c r="B95" s="624">
        <f>Assumptions!D77</f>
        <v>837.08299999999997</v>
      </c>
      <c r="C95" s="459">
        <f>'soil analysis data_Project'!N95</f>
        <v>13.68</v>
      </c>
      <c r="D95" s="284">
        <f>'Soil data_baseline'!$G$28</f>
        <v>8.5040675999999991</v>
      </c>
      <c r="E95" s="284">
        <f t="shared" si="4"/>
        <v>5.1759324000000007</v>
      </c>
      <c r="F95" s="285" t="s">
        <v>627</v>
      </c>
      <c r="G95" s="294">
        <f>ROUND(AVERAGE(E95:E97),2)</f>
        <v>3.32</v>
      </c>
      <c r="H95" s="299">
        <f>G95-1.96*G97</f>
        <v>1.8316900322849421</v>
      </c>
      <c r="I95" s="299">
        <f>U25</f>
        <v>4.4547945205479449</v>
      </c>
      <c r="J95" s="299">
        <f>H95*B95</f>
        <v>1533.2765872951761</v>
      </c>
      <c r="K95" s="299">
        <f>(J95/I95)*44/12</f>
        <v>1262.0142472304494</v>
      </c>
      <c r="L95" s="217"/>
      <c r="M95" s="217"/>
      <c r="N95" s="221"/>
      <c r="P95" s="216"/>
      <c r="Q95" s="218"/>
      <c r="R95" s="218"/>
      <c r="S95" s="218"/>
    </row>
    <row r="96" spans="1:19" x14ac:dyDescent="0.2">
      <c r="A96" s="609"/>
      <c r="B96" s="625"/>
      <c r="C96" s="460">
        <f>'soil analysis data_Project'!N96</f>
        <v>10.890000000000002</v>
      </c>
      <c r="D96" s="277">
        <f>'Soil data_baseline'!$G$28</f>
        <v>8.5040675999999991</v>
      </c>
      <c r="E96" s="277">
        <f t="shared" si="4"/>
        <v>2.3859324000000033</v>
      </c>
      <c r="F96" s="278" t="s">
        <v>628</v>
      </c>
      <c r="G96" s="295">
        <f>STDEVP(E95:E97)</f>
        <v>1.3152186130069774</v>
      </c>
      <c r="H96" s="300"/>
      <c r="I96" s="305"/>
      <c r="J96" s="305"/>
      <c r="K96" s="300"/>
      <c r="L96" s="223"/>
      <c r="M96" s="223"/>
      <c r="N96" s="221"/>
      <c r="P96" s="216"/>
      <c r="Q96" s="216"/>
      <c r="R96" s="216"/>
      <c r="S96" s="216"/>
    </row>
    <row r="97" spans="1:19" ht="16" thickBot="1" x14ac:dyDescent="0.25">
      <c r="A97" s="610"/>
      <c r="B97" s="636"/>
      <c r="C97" s="461">
        <f>'soil analysis data_Project'!N97</f>
        <v>10.89</v>
      </c>
      <c r="D97" s="290">
        <f>'Soil data_baseline'!$G$28</f>
        <v>8.5040675999999991</v>
      </c>
      <c r="E97" s="290">
        <f t="shared" si="4"/>
        <v>2.3859324000000015</v>
      </c>
      <c r="F97" s="291" t="s">
        <v>625</v>
      </c>
      <c r="G97" s="314">
        <f>G96/SQRT(COUNT(E95:E97))</f>
        <v>0.75934182026278463</v>
      </c>
      <c r="H97" s="300"/>
      <c r="I97" s="305"/>
      <c r="J97" s="305"/>
      <c r="K97" s="300"/>
      <c r="L97" s="223"/>
      <c r="M97" s="223"/>
      <c r="N97" s="221"/>
      <c r="P97" s="216"/>
      <c r="Q97" s="216"/>
      <c r="R97" s="216"/>
      <c r="S97" s="216"/>
    </row>
    <row r="98" spans="1:19" x14ac:dyDescent="0.2">
      <c r="A98" s="608">
        <v>18</v>
      </c>
      <c r="B98" s="624">
        <f>Assumptions!D78</f>
        <v>1849.3409999999997</v>
      </c>
      <c r="C98" s="459">
        <f>'soil analysis data_Project'!N98</f>
        <v>26.557440000000003</v>
      </c>
      <c r="D98" s="284">
        <f>'Soil data_baseline'!$G$28</f>
        <v>8.5040675999999991</v>
      </c>
      <c r="E98" s="284">
        <f t="shared" si="4"/>
        <v>18.053372400000004</v>
      </c>
      <c r="F98" s="285" t="s">
        <v>627</v>
      </c>
      <c r="G98" s="294">
        <f>ROUND(AVERAGE(E98:E100),2)</f>
        <v>9.11</v>
      </c>
      <c r="H98" s="299">
        <f>G98-1.96*G100</f>
        <v>1.1946561190884699</v>
      </c>
      <c r="I98" s="299">
        <f>U26</f>
        <v>4.4657534246575343</v>
      </c>
      <c r="J98" s="299">
        <f>H98*B98</f>
        <v>2209.3265419311897</v>
      </c>
      <c r="K98" s="299">
        <f>(J98/I98)*44/12</f>
        <v>1813.9971504813348</v>
      </c>
      <c r="L98" s="217"/>
      <c r="M98" s="217"/>
      <c r="N98" s="221"/>
      <c r="P98" s="216"/>
      <c r="Q98" s="218"/>
      <c r="R98" s="218"/>
      <c r="S98" s="218"/>
    </row>
    <row r="99" spans="1:19" x14ac:dyDescent="0.2">
      <c r="A99" s="609"/>
      <c r="B99" s="625"/>
      <c r="C99" s="460">
        <f>'soil analysis data_Project'!N99</f>
        <v>9.4810904888888903</v>
      </c>
      <c r="D99" s="277">
        <f>'Soil data_baseline'!$G$28</f>
        <v>8.5040675999999991</v>
      </c>
      <c r="E99" s="277">
        <f t="shared" si="4"/>
        <v>0.97702288888889122</v>
      </c>
      <c r="F99" s="278" t="s">
        <v>628</v>
      </c>
      <c r="G99" s="295">
        <f>STDEVP(E98:E100)</f>
        <v>6.9947845719990749</v>
      </c>
      <c r="H99" s="300"/>
      <c r="I99" s="305"/>
      <c r="J99" s="305"/>
      <c r="K99" s="300"/>
      <c r="L99" s="223"/>
      <c r="M99" s="223"/>
      <c r="N99" s="221"/>
      <c r="P99" s="216"/>
      <c r="Q99" s="216"/>
      <c r="R99" s="216"/>
      <c r="S99" s="216"/>
    </row>
    <row r="100" spans="1:19" ht="16" thickBot="1" x14ac:dyDescent="0.25">
      <c r="A100" s="610"/>
      <c r="B100" s="636"/>
      <c r="C100" s="461">
        <f>'soil analysis data_Project'!N100</f>
        <v>16.806719999999999</v>
      </c>
      <c r="D100" s="290">
        <f>'Soil data_baseline'!$G$28</f>
        <v>8.5040675999999991</v>
      </c>
      <c r="E100" s="290">
        <f t="shared" si="4"/>
        <v>8.3026523999999995</v>
      </c>
      <c r="F100" s="291" t="s">
        <v>625</v>
      </c>
      <c r="G100" s="314">
        <f>G99/SQRT(COUNT(E98:E100))</f>
        <v>4.0384407555671071</v>
      </c>
      <c r="H100" s="300"/>
      <c r="I100" s="305"/>
      <c r="J100" s="305"/>
      <c r="K100" s="300"/>
      <c r="L100" s="223"/>
      <c r="M100" s="223"/>
      <c r="N100" s="221"/>
      <c r="P100" s="216"/>
      <c r="Q100" s="216"/>
      <c r="R100" s="216"/>
      <c r="S100" s="216"/>
    </row>
    <row r="101" spans="1:19" x14ac:dyDescent="0.2">
      <c r="A101" s="687">
        <v>19</v>
      </c>
      <c r="B101" s="690">
        <f>Assumptions!D79</f>
        <v>7884.7310000000007</v>
      </c>
      <c r="C101" s="459">
        <f>'soil analysis data_Project'!N101</f>
        <v>11.115000000000002</v>
      </c>
      <c r="D101" s="284">
        <f>'Soil data_baseline'!$G$28</f>
        <v>8.5040675999999991</v>
      </c>
      <c r="E101" s="284">
        <f t="shared" si="4"/>
        <v>2.6109324000000029</v>
      </c>
      <c r="F101" s="285" t="s">
        <v>627</v>
      </c>
      <c r="G101" s="294">
        <f>ROUND(AVERAGE(E101:E109),2)</f>
        <v>6.15</v>
      </c>
      <c r="H101" s="299">
        <f>G101-1.96*G103</f>
        <v>2.6745664029653318</v>
      </c>
      <c r="I101" s="299">
        <f>U27</f>
        <v>4.4739726027397264</v>
      </c>
      <c r="J101" s="299">
        <f>H101*B101</f>
        <v>21088.236629019244</v>
      </c>
      <c r="K101" s="299">
        <f>(J101/I101)*44/12</f>
        <v>17282.970007248878</v>
      </c>
      <c r="L101" s="217"/>
      <c r="M101" s="217"/>
      <c r="N101" s="221"/>
      <c r="P101" s="216"/>
      <c r="Q101" s="218"/>
      <c r="R101" s="218"/>
      <c r="S101" s="218"/>
    </row>
    <row r="102" spans="1:19" x14ac:dyDescent="0.2">
      <c r="A102" s="688"/>
      <c r="B102" s="691"/>
      <c r="C102" s="460">
        <f>'soil analysis data_Project'!N102</f>
        <v>27.770600000000009</v>
      </c>
      <c r="D102" s="277">
        <f>'Soil data_baseline'!$G$28</f>
        <v>8.5040675999999991</v>
      </c>
      <c r="E102" s="277">
        <f t="shared" si="4"/>
        <v>19.26653240000001</v>
      </c>
      <c r="F102" s="278" t="s">
        <v>628</v>
      </c>
      <c r="G102" s="295">
        <f>STDEVP(E101:E109)</f>
        <v>5.3195412199510237</v>
      </c>
      <c r="H102" s="300"/>
      <c r="I102" s="305"/>
      <c r="J102" s="305"/>
      <c r="K102" s="300"/>
      <c r="L102" s="223"/>
      <c r="M102" s="223"/>
      <c r="N102" s="221"/>
      <c r="P102" s="216"/>
      <c r="Q102" s="216"/>
      <c r="R102" s="216"/>
      <c r="S102" s="216"/>
    </row>
    <row r="103" spans="1:19" x14ac:dyDescent="0.2">
      <c r="A103" s="688"/>
      <c r="B103" s="691"/>
      <c r="C103" s="460">
        <f>'soil analysis data_Project'!N103</f>
        <v>19.030200000000001</v>
      </c>
      <c r="D103" s="277">
        <f>'Soil data_baseline'!$G$28</f>
        <v>8.5040675999999991</v>
      </c>
      <c r="E103" s="277">
        <f t="shared" si="4"/>
        <v>10.526132400000002</v>
      </c>
      <c r="F103" s="278" t="s">
        <v>625</v>
      </c>
      <c r="G103" s="295">
        <f>G102/SQRT(COUNT(E101:E109))</f>
        <v>1.7731804066503412</v>
      </c>
      <c r="H103" s="300"/>
      <c r="I103" s="305"/>
      <c r="J103" s="305"/>
      <c r="K103" s="300"/>
      <c r="L103" s="223"/>
      <c r="M103" s="223"/>
      <c r="N103" s="221"/>
      <c r="P103" s="216"/>
      <c r="Q103" s="216"/>
      <c r="R103" s="216"/>
      <c r="S103" s="216"/>
    </row>
    <row r="104" spans="1:19" x14ac:dyDescent="0.2">
      <c r="A104" s="688"/>
      <c r="B104" s="691"/>
      <c r="C104" s="460">
        <f>'soil analysis data_Project'!N104</f>
        <v>15.039900000000001</v>
      </c>
      <c r="D104" s="277">
        <f>'Soil data_baseline'!$G$28</f>
        <v>8.5040675999999991</v>
      </c>
      <c r="E104" s="277">
        <f t="shared" si="4"/>
        <v>6.5358324000000021</v>
      </c>
      <c r="F104" s="281"/>
      <c r="G104" s="296"/>
      <c r="H104" s="300"/>
      <c r="I104" s="305"/>
      <c r="J104" s="305"/>
      <c r="K104" s="300"/>
      <c r="L104" s="223"/>
      <c r="M104" s="223"/>
      <c r="N104" s="221"/>
      <c r="P104" s="216"/>
      <c r="Q104" s="216"/>
      <c r="R104" s="216"/>
      <c r="S104" s="216"/>
    </row>
    <row r="105" spans="1:19" x14ac:dyDescent="0.2">
      <c r="A105" s="688"/>
      <c r="B105" s="691"/>
      <c r="C105" s="460">
        <f>'soil analysis data_Project'!N105</f>
        <v>13.243500000000001</v>
      </c>
      <c r="D105" s="277">
        <f>'Soil data_baseline'!$G$28</f>
        <v>8.5040675999999991</v>
      </c>
      <c r="E105" s="277">
        <f t="shared" si="4"/>
        <v>4.7394324000000019</v>
      </c>
      <c r="F105" s="281"/>
      <c r="G105" s="296"/>
      <c r="H105" s="300"/>
      <c r="I105" s="305"/>
      <c r="J105" s="305"/>
      <c r="K105" s="300"/>
      <c r="L105" s="223"/>
      <c r="M105" s="223"/>
      <c r="N105" s="221"/>
      <c r="P105" s="216"/>
      <c r="Q105" s="216"/>
      <c r="R105" s="216"/>
      <c r="S105" s="216"/>
    </row>
    <row r="106" spans="1:19" x14ac:dyDescent="0.2">
      <c r="A106" s="688"/>
      <c r="B106" s="691"/>
      <c r="C106" s="460">
        <f>'soil analysis data_Project'!N106</f>
        <v>11.981190000000002</v>
      </c>
      <c r="D106" s="277">
        <f>'Soil data_baseline'!$G$28</f>
        <v>8.5040675999999991</v>
      </c>
      <c r="E106" s="277">
        <f t="shared" si="4"/>
        <v>3.4771224000000025</v>
      </c>
      <c r="F106" s="281"/>
      <c r="G106" s="296"/>
      <c r="H106" s="300"/>
      <c r="I106" s="305"/>
      <c r="J106" s="305"/>
      <c r="K106" s="300"/>
      <c r="L106" s="223"/>
      <c r="M106" s="223"/>
      <c r="N106" s="221"/>
      <c r="P106" s="216"/>
      <c r="Q106" s="216"/>
      <c r="R106" s="216"/>
      <c r="S106" s="216"/>
    </row>
    <row r="107" spans="1:19" x14ac:dyDescent="0.2">
      <c r="A107" s="688"/>
      <c r="B107" s="691"/>
      <c r="C107" s="460">
        <f>'soil analysis data_Project'!N107</f>
        <v>9.9980400000000014</v>
      </c>
      <c r="D107" s="277">
        <f>'Soil data_baseline'!$G$28</f>
        <v>8.5040675999999991</v>
      </c>
      <c r="E107" s="277">
        <f t="shared" si="4"/>
        <v>1.4939724000000023</v>
      </c>
      <c r="F107" s="281"/>
      <c r="G107" s="296"/>
      <c r="H107" s="300"/>
      <c r="I107" s="305"/>
      <c r="J107" s="305"/>
      <c r="K107" s="300"/>
      <c r="L107" s="223"/>
      <c r="M107" s="223"/>
      <c r="N107" s="221"/>
      <c r="P107" s="216"/>
      <c r="Q107" s="216"/>
      <c r="R107" s="216"/>
      <c r="S107" s="216"/>
    </row>
    <row r="108" spans="1:19" x14ac:dyDescent="0.2">
      <c r="A108" s="688"/>
      <c r="B108" s="691"/>
      <c r="C108" s="460">
        <f>'soil analysis data_Project'!N108</f>
        <v>13.365000000000002</v>
      </c>
      <c r="D108" s="277">
        <f>'Soil data_baseline'!$G$28</f>
        <v>8.5040675999999991</v>
      </c>
      <c r="E108" s="277">
        <f t="shared" si="4"/>
        <v>4.8609324000000029</v>
      </c>
      <c r="F108" s="281"/>
      <c r="G108" s="296"/>
      <c r="H108" s="300"/>
      <c r="I108" s="305"/>
      <c r="J108" s="305"/>
      <c r="K108" s="300"/>
      <c r="L108" s="223"/>
      <c r="M108" s="223"/>
      <c r="N108" s="221"/>
      <c r="P108" s="216"/>
      <c r="Q108" s="216"/>
      <c r="R108" s="216"/>
      <c r="S108" s="216"/>
    </row>
    <row r="109" spans="1:19" ht="16" thickBot="1" x14ac:dyDescent="0.25">
      <c r="A109" s="689"/>
      <c r="B109" s="691"/>
      <c r="C109" s="461">
        <f>'soil analysis data_Project'!N109</f>
        <v>10.372050000000002</v>
      </c>
      <c r="D109" s="290">
        <f>'Soil data_baseline'!$G$28</f>
        <v>8.5040675999999991</v>
      </c>
      <c r="E109" s="290">
        <f t="shared" si="4"/>
        <v>1.8679824000000025</v>
      </c>
      <c r="F109" s="293"/>
      <c r="G109" s="297"/>
      <c r="H109" s="300"/>
      <c r="I109" s="305"/>
      <c r="J109" s="305"/>
      <c r="K109" s="300"/>
      <c r="L109" s="223"/>
      <c r="M109" s="223"/>
      <c r="N109" s="221"/>
      <c r="P109" s="216"/>
      <c r="Q109" s="216"/>
      <c r="R109" s="216"/>
      <c r="S109" s="216"/>
    </row>
    <row r="110" spans="1:19" x14ac:dyDescent="0.2">
      <c r="A110" s="608">
        <v>20</v>
      </c>
      <c r="B110" s="624">
        <f>Assumptions!D80</f>
        <v>2195.1750000000002</v>
      </c>
      <c r="C110" s="459">
        <f>'soil analysis data_Project'!N110</f>
        <v>14.077799999999996</v>
      </c>
      <c r="D110" s="284">
        <f>'Soil data_baseline'!$G$28</f>
        <v>8.5040675999999991</v>
      </c>
      <c r="E110" s="284">
        <f t="shared" si="4"/>
        <v>5.5737323999999973</v>
      </c>
      <c r="F110" s="285" t="s">
        <v>627</v>
      </c>
      <c r="G110" s="294">
        <f>ROUND(AVERAGE(E110:E112),2)</f>
        <v>6.6</v>
      </c>
      <c r="H110" s="299">
        <f>G110-1.96*G112</f>
        <v>2.5853150908842064</v>
      </c>
      <c r="I110" s="299">
        <f>U28</f>
        <v>4.4273972602739722</v>
      </c>
      <c r="J110" s="299">
        <f>H110*B110</f>
        <v>5675.2190546317379</v>
      </c>
      <c r="K110" s="299">
        <f>(J110/I110)*44/12</f>
        <v>4700.0834373651878</v>
      </c>
      <c r="L110" s="217"/>
      <c r="M110" s="217"/>
      <c r="N110" s="221"/>
      <c r="P110" s="216"/>
      <c r="Q110" s="218"/>
      <c r="R110" s="218"/>
      <c r="S110" s="218"/>
    </row>
    <row r="111" spans="1:19" x14ac:dyDescent="0.2">
      <c r="A111" s="609"/>
      <c r="B111" s="625"/>
      <c r="C111" s="460">
        <f>'soil analysis data_Project'!N111</f>
        <v>11.360700000000001</v>
      </c>
      <c r="D111" s="277">
        <f>'Soil data_baseline'!$G$28</f>
        <v>8.5040675999999991</v>
      </c>
      <c r="E111" s="277">
        <f t="shared" si="4"/>
        <v>2.8566324000000023</v>
      </c>
      <c r="F111" s="278" t="s">
        <v>628</v>
      </c>
      <c r="G111" s="295">
        <f>STDEVP(E110:E112)</f>
        <v>3.5477746117186704</v>
      </c>
      <c r="H111" s="300"/>
      <c r="I111" s="305"/>
      <c r="J111" s="305"/>
      <c r="K111" s="300"/>
      <c r="L111" s="223"/>
      <c r="M111" s="223"/>
      <c r="N111" s="221"/>
      <c r="P111" s="216"/>
      <c r="Q111" s="216"/>
      <c r="R111" s="216"/>
      <c r="S111" s="216"/>
    </row>
    <row r="112" spans="1:19" ht="16" thickBot="1" x14ac:dyDescent="0.25">
      <c r="A112" s="610"/>
      <c r="B112" s="636"/>
      <c r="C112" s="461">
        <f>'soil analysis data_Project'!N112</f>
        <v>19.867900000000002</v>
      </c>
      <c r="D112" s="290">
        <f>'Soil data_baseline'!$G$28</f>
        <v>8.5040675999999991</v>
      </c>
      <c r="E112" s="290">
        <f t="shared" si="4"/>
        <v>11.363832400000003</v>
      </c>
      <c r="F112" s="291" t="s">
        <v>625</v>
      </c>
      <c r="G112" s="314">
        <f>G111/SQRT(COUNT(E110:E112))</f>
        <v>2.0483086270998947</v>
      </c>
      <c r="H112" s="300"/>
      <c r="I112" s="305"/>
      <c r="J112" s="305"/>
      <c r="K112" s="300"/>
      <c r="L112" s="223"/>
      <c r="M112" s="223"/>
      <c r="N112" s="221"/>
      <c r="P112" s="216"/>
      <c r="Q112" s="216"/>
      <c r="R112" s="216"/>
      <c r="S112" s="216"/>
    </row>
    <row r="113" spans="1:21" x14ac:dyDescent="0.2">
      <c r="A113" s="608">
        <v>21</v>
      </c>
      <c r="B113" s="675">
        <f>Assumptions!D81</f>
        <v>454.25200000000001</v>
      </c>
      <c r="C113" s="459">
        <f>'soil analysis data_Project'!N113</f>
        <v>14.849999999999998</v>
      </c>
      <c r="D113" s="284">
        <f>'Soil data_baseline'!$G$28</f>
        <v>8.5040675999999991</v>
      </c>
      <c r="E113" s="284">
        <f t="shared" si="4"/>
        <v>6.3459323999999988</v>
      </c>
      <c r="F113" s="285" t="s">
        <v>627</v>
      </c>
      <c r="G113" s="294">
        <f>ROUND(AVERAGE(E113:E115),2)</f>
        <v>11.23</v>
      </c>
      <c r="H113" s="299">
        <f>G113-1.96*G115</f>
        <v>2.3042739886725148</v>
      </c>
      <c r="I113" s="299">
        <f>U29</f>
        <v>4.5013698630136982</v>
      </c>
      <c r="J113" s="299">
        <f>H113*B113</f>
        <v>1046.7210679024672</v>
      </c>
      <c r="K113" s="299">
        <f>(J113/I113)*44/12</f>
        <v>852.62428233483604</v>
      </c>
      <c r="L113" s="217"/>
      <c r="M113" s="217"/>
      <c r="N113" s="221"/>
      <c r="P113" s="216"/>
      <c r="Q113" s="218"/>
      <c r="R113" s="218"/>
      <c r="S113" s="218"/>
    </row>
    <row r="114" spans="1:21" x14ac:dyDescent="0.2">
      <c r="A114" s="609"/>
      <c r="B114" s="676"/>
      <c r="C114" s="460">
        <f>'soil analysis data_Project'!N114</f>
        <v>30.860550000000003</v>
      </c>
      <c r="D114" s="277">
        <f>'Soil data_baseline'!$G$28</f>
        <v>8.5040675999999991</v>
      </c>
      <c r="E114" s="277">
        <f t="shared" si="4"/>
        <v>22.356482400000004</v>
      </c>
      <c r="F114" s="278" t="s">
        <v>628</v>
      </c>
      <c r="G114" s="295">
        <f>STDEVP(E113:E115)</f>
        <v>7.8876586459481137</v>
      </c>
      <c r="H114" s="300"/>
      <c r="I114" s="305"/>
      <c r="J114" s="305"/>
      <c r="K114" s="300"/>
      <c r="L114" s="223"/>
      <c r="M114" s="223"/>
      <c r="N114" s="221"/>
      <c r="P114" s="216"/>
      <c r="Q114" s="216"/>
      <c r="R114" s="216"/>
      <c r="S114" s="216"/>
    </row>
    <row r="115" spans="1:21" ht="16" thickBot="1" x14ac:dyDescent="0.25">
      <c r="A115" s="610"/>
      <c r="B115" s="677"/>
      <c r="C115" s="461">
        <f>'soil analysis data_Project'!N115</f>
        <v>13.489650000000001</v>
      </c>
      <c r="D115" s="290">
        <f>'Soil data_baseline'!$G$28</f>
        <v>8.5040675999999991</v>
      </c>
      <c r="E115" s="290">
        <f t="shared" si="4"/>
        <v>4.985582400000002</v>
      </c>
      <c r="F115" s="291" t="s">
        <v>625</v>
      </c>
      <c r="G115" s="314">
        <f>G114/SQRT(COUNT(E113:E115))</f>
        <v>4.553941842514023</v>
      </c>
      <c r="H115" s="300"/>
      <c r="I115" s="305"/>
      <c r="J115" s="305"/>
      <c r="K115" s="300"/>
      <c r="L115" s="223"/>
      <c r="M115" s="223"/>
      <c r="N115" s="221"/>
      <c r="P115" s="216"/>
      <c r="Q115" s="216"/>
      <c r="R115" s="216"/>
      <c r="S115" s="216"/>
    </row>
    <row r="116" spans="1:21" ht="15" customHeight="1" x14ac:dyDescent="0.2">
      <c r="A116" s="692">
        <v>22</v>
      </c>
      <c r="B116" s="695">
        <f>Assumptions!D82</f>
        <v>18064.454000000005</v>
      </c>
      <c r="C116" s="459">
        <f>'soil analysis data_Project'!N116</f>
        <v>9.3366000000000025</v>
      </c>
      <c r="D116" s="284">
        <f>'Soil data_baseline'!$G$28</f>
        <v>8.5040675999999991</v>
      </c>
      <c r="E116" s="284">
        <f t="shared" si="4"/>
        <v>0.83253240000000339</v>
      </c>
      <c r="F116" s="285" t="s">
        <v>627</v>
      </c>
      <c r="G116" s="294">
        <f>ROUND(AVERAGE(E116:E133),2)</f>
        <v>19.25</v>
      </c>
      <c r="H116" s="299">
        <f>G116-1.96*G118</f>
        <v>4.4845166194257793</v>
      </c>
      <c r="I116" s="299">
        <f>U30</f>
        <v>4.4657534246575343</v>
      </c>
      <c r="J116" s="299">
        <f>H116*B116</f>
        <v>81010.344183852518</v>
      </c>
      <c r="K116" s="299">
        <f>(J116/I116)*44/12</f>
        <v>66514.628200034334</v>
      </c>
      <c r="L116" s="217"/>
      <c r="M116" s="217"/>
      <c r="N116" s="221"/>
      <c r="O116" s="48"/>
      <c r="P116" s="216"/>
      <c r="Q116" s="218"/>
      <c r="R116" s="218"/>
      <c r="S116" s="218"/>
      <c r="T116" s="48"/>
      <c r="U116" s="11"/>
    </row>
    <row r="117" spans="1:21" x14ac:dyDescent="0.2">
      <c r="A117" s="693"/>
      <c r="B117" s="696"/>
      <c r="C117" s="460">
        <f>'soil analysis data_Project'!N117</f>
        <v>9.7686399999999995</v>
      </c>
      <c r="D117" s="277">
        <f>'Soil data_baseline'!$G$28</f>
        <v>8.5040675999999991</v>
      </c>
      <c r="E117" s="277">
        <f t="shared" si="4"/>
        <v>1.2645724000000005</v>
      </c>
      <c r="F117" s="278" t="s">
        <v>628</v>
      </c>
      <c r="G117" s="295">
        <f>STDEVP(E116:E133)</f>
        <v>31.961551303779487</v>
      </c>
      <c r="H117" s="300"/>
      <c r="I117" s="305"/>
      <c r="J117" s="305"/>
      <c r="K117" s="300"/>
      <c r="L117" s="223"/>
      <c r="M117" s="223"/>
      <c r="N117" s="221"/>
      <c r="O117" s="48"/>
      <c r="P117" s="216"/>
      <c r="Q117" s="216"/>
      <c r="R117" s="216"/>
      <c r="S117" s="216"/>
      <c r="T117" s="48"/>
      <c r="U117" s="11"/>
    </row>
    <row r="118" spans="1:21" x14ac:dyDescent="0.2">
      <c r="A118" s="693"/>
      <c r="B118" s="696"/>
      <c r="C118" s="460">
        <f>'soil analysis data_Project'!N118</f>
        <v>27.068579999999997</v>
      </c>
      <c r="D118" s="277">
        <f>'Soil data_baseline'!$G$28</f>
        <v>8.5040675999999991</v>
      </c>
      <c r="E118" s="277">
        <f t="shared" si="4"/>
        <v>18.564512399999998</v>
      </c>
      <c r="F118" s="278" t="s">
        <v>625</v>
      </c>
      <c r="G118" s="295">
        <f>G117/SQRT(COUNT(E116:E133))</f>
        <v>7.5334098880480722</v>
      </c>
      <c r="H118" s="300"/>
      <c r="I118" s="305"/>
      <c r="J118" s="305"/>
      <c r="K118" s="300"/>
      <c r="L118" s="223"/>
      <c r="M118" s="223"/>
      <c r="N118" s="221"/>
      <c r="O118" s="48"/>
      <c r="P118" s="216"/>
      <c r="Q118" s="216"/>
      <c r="R118" s="216"/>
      <c r="S118" s="216"/>
      <c r="T118" s="48"/>
      <c r="U118" s="11"/>
    </row>
    <row r="119" spans="1:21" x14ac:dyDescent="0.2">
      <c r="A119" s="693"/>
      <c r="B119" s="696"/>
      <c r="C119" s="460">
        <f>'soil analysis data_Project'!N119</f>
        <v>9.5902799999999999</v>
      </c>
      <c r="D119" s="277">
        <f>'Soil data_baseline'!$G$28</f>
        <v>8.5040675999999991</v>
      </c>
      <c r="E119" s="277">
        <f t="shared" si="4"/>
        <v>1.0862124000000009</v>
      </c>
      <c r="F119" s="281"/>
      <c r="G119" s="296"/>
      <c r="H119" s="300"/>
      <c r="I119" s="305"/>
      <c r="J119" s="305"/>
      <c r="K119" s="300"/>
      <c r="L119" s="223"/>
      <c r="M119" s="223"/>
      <c r="N119" s="221"/>
      <c r="O119" s="48"/>
      <c r="P119" s="216"/>
      <c r="Q119" s="216"/>
      <c r="R119" s="216"/>
      <c r="S119" s="216"/>
      <c r="T119" s="48"/>
      <c r="U119" s="11"/>
    </row>
    <row r="120" spans="1:21" x14ac:dyDescent="0.2">
      <c r="A120" s="693"/>
      <c r="B120" s="696"/>
      <c r="C120" s="460">
        <f>'soil analysis data_Project'!N120</f>
        <v>21.572640000000003</v>
      </c>
      <c r="D120" s="277">
        <f>'Soil data_baseline'!$G$28</f>
        <v>8.5040675999999991</v>
      </c>
      <c r="E120" s="277">
        <f t="shared" si="4"/>
        <v>13.068572400000004</v>
      </c>
      <c r="F120" s="281"/>
      <c r="G120" s="296"/>
      <c r="H120" s="300"/>
      <c r="I120" s="305"/>
      <c r="J120" s="305"/>
      <c r="K120" s="300"/>
      <c r="L120" s="223"/>
      <c r="M120" s="223"/>
      <c r="N120" s="221"/>
      <c r="O120" s="48"/>
      <c r="P120" s="216"/>
      <c r="Q120" s="216"/>
      <c r="R120" s="216"/>
      <c r="S120" s="216"/>
      <c r="T120" s="48"/>
      <c r="U120" s="11"/>
    </row>
    <row r="121" spans="1:21" x14ac:dyDescent="0.2">
      <c r="A121" s="693"/>
      <c r="B121" s="696"/>
      <c r="C121" s="460">
        <f>'soil analysis data_Project'!N121</f>
        <v>24.797640000000001</v>
      </c>
      <c r="D121" s="277">
        <f>'Soil data_baseline'!$G$28</f>
        <v>8.5040675999999991</v>
      </c>
      <c r="E121" s="277">
        <f t="shared" si="4"/>
        <v>16.293572400000002</v>
      </c>
      <c r="F121" s="281"/>
      <c r="G121" s="296"/>
      <c r="H121" s="300"/>
      <c r="I121" s="305"/>
      <c r="J121" s="305"/>
      <c r="K121" s="300"/>
      <c r="L121" s="223"/>
      <c r="M121" s="223"/>
      <c r="N121" s="221"/>
      <c r="O121" s="48"/>
      <c r="P121" s="216"/>
      <c r="Q121" s="216"/>
      <c r="R121" s="216"/>
      <c r="S121" s="216"/>
      <c r="T121" s="48"/>
      <c r="U121" s="11"/>
    </row>
    <row r="122" spans="1:21" x14ac:dyDescent="0.2">
      <c r="A122" s="693"/>
      <c r="B122" s="696"/>
      <c r="C122" s="460">
        <f>'soil analysis data_Project'!N122</f>
        <v>155.23463999999998</v>
      </c>
      <c r="D122" s="277">
        <f>'Soil data_baseline'!$G$28</f>
        <v>8.5040675999999991</v>
      </c>
      <c r="E122" s="277">
        <f t="shared" si="4"/>
        <v>146.73057239999997</v>
      </c>
      <c r="F122" s="281"/>
      <c r="G122" s="296"/>
      <c r="H122" s="300"/>
      <c r="I122" s="305"/>
      <c r="J122" s="305"/>
      <c r="K122" s="300"/>
      <c r="L122" s="223"/>
      <c r="M122" s="223"/>
      <c r="N122" s="221"/>
      <c r="O122" s="48"/>
      <c r="P122" s="216"/>
      <c r="Q122" s="216"/>
      <c r="R122" s="216"/>
      <c r="S122" s="216"/>
      <c r="T122" s="48"/>
      <c r="U122" s="11"/>
    </row>
    <row r="123" spans="1:21" x14ac:dyDescent="0.2">
      <c r="A123" s="693"/>
      <c r="B123" s="696"/>
      <c r="C123" s="460">
        <f>'soil analysis data_Project'!N123</f>
        <v>27.862379999999991</v>
      </c>
      <c r="D123" s="277">
        <f>'Soil data_baseline'!$G$28</f>
        <v>8.5040675999999991</v>
      </c>
      <c r="E123" s="277">
        <f t="shared" si="4"/>
        <v>19.358312399999992</v>
      </c>
      <c r="F123" s="281"/>
      <c r="G123" s="296"/>
      <c r="H123" s="300"/>
      <c r="I123" s="305"/>
      <c r="J123" s="305"/>
      <c r="K123" s="300"/>
      <c r="L123" s="223"/>
      <c r="M123" s="223"/>
      <c r="N123" s="221"/>
      <c r="O123" s="48"/>
      <c r="P123" s="216"/>
      <c r="Q123" s="216"/>
      <c r="R123" s="216"/>
      <c r="S123" s="216"/>
      <c r="T123" s="48"/>
      <c r="U123" s="11"/>
    </row>
    <row r="124" spans="1:21" x14ac:dyDescent="0.2">
      <c r="A124" s="693"/>
      <c r="B124" s="696"/>
      <c r="C124" s="460">
        <f>'soil analysis data_Project'!N124</f>
        <v>10.213280000000001</v>
      </c>
      <c r="D124" s="277">
        <f>'Soil data_baseline'!$G$28</f>
        <v>8.5040675999999991</v>
      </c>
      <c r="E124" s="277">
        <f t="shared" si="4"/>
        <v>1.709212400000002</v>
      </c>
      <c r="F124" s="281"/>
      <c r="G124" s="296"/>
      <c r="H124" s="300"/>
      <c r="I124" s="305"/>
      <c r="J124" s="305"/>
      <c r="K124" s="300"/>
      <c r="L124" s="223"/>
      <c r="M124" s="223"/>
      <c r="N124" s="221"/>
      <c r="O124" s="48"/>
      <c r="P124" s="216"/>
      <c r="Q124" s="216"/>
      <c r="R124" s="216"/>
      <c r="S124" s="216"/>
      <c r="T124" s="48"/>
      <c r="U124" s="11"/>
    </row>
    <row r="125" spans="1:21" x14ac:dyDescent="0.2">
      <c r="A125" s="693"/>
      <c r="B125" s="696"/>
      <c r="C125" s="460">
        <f>'soil analysis data_Project'!N125</f>
        <v>26.462700000000002</v>
      </c>
      <c r="D125" s="277">
        <f>'Soil data_baseline'!$G$28</f>
        <v>8.5040675999999991</v>
      </c>
      <c r="E125" s="277">
        <f t="shared" si="4"/>
        <v>17.958632400000003</v>
      </c>
      <c r="F125" s="281"/>
      <c r="G125" s="296"/>
      <c r="H125" s="300"/>
      <c r="I125" s="305"/>
      <c r="J125" s="305"/>
      <c r="K125" s="300"/>
      <c r="L125" s="223"/>
      <c r="M125" s="223"/>
      <c r="N125" s="221"/>
      <c r="O125" s="48"/>
      <c r="P125" s="216"/>
      <c r="Q125" s="216"/>
      <c r="R125" s="216"/>
      <c r="S125" s="216"/>
      <c r="T125" s="48"/>
      <c r="U125" s="11"/>
    </row>
    <row r="126" spans="1:21" x14ac:dyDescent="0.2">
      <c r="A126" s="693"/>
      <c r="B126" s="696"/>
      <c r="C126" s="460">
        <f>'soil analysis data_Project'!N126</f>
        <v>9.3766400000000001</v>
      </c>
      <c r="D126" s="277">
        <f>'Soil data_baseline'!$G$28</f>
        <v>8.5040675999999991</v>
      </c>
      <c r="E126" s="277">
        <f t="shared" si="4"/>
        <v>0.87257240000000102</v>
      </c>
      <c r="F126" s="281"/>
      <c r="G126" s="296"/>
      <c r="H126" s="300"/>
      <c r="I126" s="305"/>
      <c r="J126" s="305"/>
      <c r="K126" s="300"/>
      <c r="L126" s="223"/>
      <c r="M126" s="223"/>
      <c r="N126" s="221"/>
      <c r="O126" s="48"/>
      <c r="P126" s="216"/>
      <c r="Q126" s="216"/>
      <c r="R126" s="216"/>
      <c r="S126" s="216"/>
      <c r="T126" s="48"/>
      <c r="U126" s="11"/>
    </row>
    <row r="127" spans="1:21" x14ac:dyDescent="0.2">
      <c r="A127" s="693"/>
      <c r="B127" s="696"/>
      <c r="C127" s="460">
        <f>'soil analysis data_Project'!N127</f>
        <v>29.200500000000002</v>
      </c>
      <c r="D127" s="277">
        <f>'Soil data_baseline'!$G$28</f>
        <v>8.5040675999999991</v>
      </c>
      <c r="E127" s="277">
        <f t="shared" si="4"/>
        <v>20.696432400000003</v>
      </c>
      <c r="F127" s="281"/>
      <c r="G127" s="296"/>
      <c r="H127" s="300"/>
      <c r="I127" s="305"/>
      <c r="J127" s="305"/>
      <c r="K127" s="300"/>
      <c r="L127" s="223"/>
      <c r="M127" s="223"/>
      <c r="N127" s="221"/>
      <c r="O127" s="48"/>
      <c r="P127" s="216"/>
      <c r="Q127" s="216"/>
      <c r="R127" s="216"/>
      <c r="S127" s="216"/>
      <c r="T127" s="48"/>
      <c r="U127" s="11"/>
    </row>
    <row r="128" spans="1:21" x14ac:dyDescent="0.2">
      <c r="A128" s="693"/>
      <c r="B128" s="696"/>
      <c r="C128" s="460">
        <f>'soil analysis data_Project'!N128</f>
        <v>26.584319999999998</v>
      </c>
      <c r="D128" s="277">
        <f>'Soil data_baseline'!$G$28</f>
        <v>8.5040675999999991</v>
      </c>
      <c r="E128" s="277">
        <f t="shared" si="4"/>
        <v>18.080252399999999</v>
      </c>
      <c r="F128" s="281"/>
      <c r="G128" s="296"/>
      <c r="H128" s="300"/>
      <c r="I128" s="305"/>
      <c r="J128" s="305"/>
      <c r="K128" s="300"/>
      <c r="L128" s="223"/>
      <c r="M128" s="223"/>
      <c r="N128" s="221"/>
      <c r="O128" s="48"/>
      <c r="P128" s="216"/>
      <c r="Q128" s="216"/>
      <c r="R128" s="216"/>
      <c r="S128" s="216"/>
      <c r="T128" s="48"/>
      <c r="U128" s="11"/>
    </row>
    <row r="129" spans="1:21" x14ac:dyDescent="0.2">
      <c r="A129" s="693"/>
      <c r="B129" s="696"/>
      <c r="C129" s="460">
        <f>'soil analysis data_Project'!N129</f>
        <v>24.111360000000001</v>
      </c>
      <c r="D129" s="277">
        <f>'Soil data_baseline'!$G$28</f>
        <v>8.5040675999999991</v>
      </c>
      <c r="E129" s="277">
        <f t="shared" si="4"/>
        <v>15.607292400000002</v>
      </c>
      <c r="F129" s="281"/>
      <c r="G129" s="296"/>
      <c r="H129" s="300"/>
      <c r="I129" s="305"/>
      <c r="J129" s="305"/>
      <c r="K129" s="300"/>
      <c r="L129" s="223"/>
      <c r="M129" s="223"/>
      <c r="N129" s="221"/>
      <c r="O129" s="48"/>
      <c r="P129" s="216"/>
      <c r="Q129" s="216"/>
      <c r="R129" s="216"/>
      <c r="S129" s="216"/>
      <c r="T129" s="48"/>
      <c r="U129" s="11"/>
    </row>
    <row r="130" spans="1:21" x14ac:dyDescent="0.2">
      <c r="A130" s="693"/>
      <c r="B130" s="696"/>
      <c r="C130" s="460">
        <f>'soil analysis data_Project'!N130</f>
        <v>14.064959999999999</v>
      </c>
      <c r="D130" s="277">
        <f>'Soil data_baseline'!$G$28</f>
        <v>8.5040675999999991</v>
      </c>
      <c r="E130" s="277">
        <f t="shared" si="4"/>
        <v>5.5608924000000002</v>
      </c>
      <c r="F130" s="281"/>
      <c r="G130" s="296"/>
      <c r="H130" s="300"/>
      <c r="I130" s="305"/>
      <c r="J130" s="305"/>
      <c r="K130" s="300"/>
      <c r="L130" s="223"/>
      <c r="M130" s="223"/>
      <c r="N130" s="221"/>
      <c r="O130" s="48"/>
      <c r="P130" s="216"/>
      <c r="Q130" s="216"/>
      <c r="R130" s="216"/>
      <c r="S130" s="216"/>
      <c r="T130" s="48"/>
      <c r="U130" s="11"/>
    </row>
    <row r="131" spans="1:21" x14ac:dyDescent="0.2">
      <c r="A131" s="693"/>
      <c r="B131" s="696"/>
      <c r="C131" s="460">
        <f>'soil analysis data_Project'!N131</f>
        <v>24.111360000000001</v>
      </c>
      <c r="D131" s="277">
        <f>'Soil data_baseline'!$G$28</f>
        <v>8.5040675999999991</v>
      </c>
      <c r="E131" s="277">
        <f t="shared" si="4"/>
        <v>15.607292400000002</v>
      </c>
      <c r="F131" s="281"/>
      <c r="G131" s="296"/>
      <c r="H131" s="300"/>
      <c r="I131" s="305"/>
      <c r="J131" s="305"/>
      <c r="K131" s="300"/>
      <c r="L131" s="223"/>
      <c r="M131" s="223"/>
      <c r="N131" s="221"/>
      <c r="O131" s="48"/>
      <c r="P131" s="216"/>
      <c r="Q131" s="216"/>
      <c r="R131" s="216"/>
      <c r="S131" s="216"/>
      <c r="T131" s="48"/>
      <c r="U131" s="11"/>
    </row>
    <row r="132" spans="1:21" x14ac:dyDescent="0.2">
      <c r="A132" s="693"/>
      <c r="B132" s="696"/>
      <c r="C132" s="460">
        <f>'soil analysis data_Project'!N132</f>
        <v>14.639240000000004</v>
      </c>
      <c r="D132" s="277">
        <f>'Soil data_baseline'!$G$28</f>
        <v>8.5040675999999991</v>
      </c>
      <c r="E132" s="277">
        <f t="shared" si="4"/>
        <v>6.1351724000000054</v>
      </c>
      <c r="F132" s="281"/>
      <c r="G132" s="296"/>
      <c r="H132" s="300"/>
      <c r="I132" s="305"/>
      <c r="J132" s="305"/>
      <c r="K132" s="300"/>
      <c r="L132" s="223"/>
      <c r="M132" s="223"/>
      <c r="N132" s="221"/>
      <c r="O132" s="48"/>
      <c r="P132" s="216"/>
      <c r="Q132" s="216"/>
      <c r="R132" s="216"/>
      <c r="S132" s="216"/>
      <c r="T132" s="48"/>
      <c r="U132" s="11"/>
    </row>
    <row r="133" spans="1:21" ht="16" thickBot="1" x14ac:dyDescent="0.25">
      <c r="A133" s="694"/>
      <c r="B133" s="697"/>
      <c r="C133" s="461">
        <f>'soil analysis data_Project'!N133</f>
        <v>35.496000000000002</v>
      </c>
      <c r="D133" s="290">
        <f>'Soil data_baseline'!$G$28</f>
        <v>8.5040675999999991</v>
      </c>
      <c r="E133" s="290">
        <f t="shared" si="4"/>
        <v>26.991932400000003</v>
      </c>
      <c r="F133" s="293"/>
      <c r="G133" s="297"/>
      <c r="H133" s="301"/>
      <c r="I133" s="306"/>
      <c r="J133" s="306"/>
      <c r="K133" s="301"/>
      <c r="L133" s="223"/>
      <c r="M133" s="223"/>
      <c r="N133" s="221"/>
      <c r="O133" s="48"/>
      <c r="P133" s="216"/>
      <c r="Q133" s="216"/>
      <c r="R133" s="216"/>
      <c r="S133" s="216"/>
      <c r="T133" s="48"/>
      <c r="U133" s="11"/>
    </row>
    <row r="134" spans="1:21" x14ac:dyDescent="0.2">
      <c r="A134" s="674" t="s">
        <v>104</v>
      </c>
      <c r="B134" s="674"/>
      <c r="C134" s="674"/>
      <c r="D134" s="674"/>
      <c r="E134" s="674"/>
      <c r="F134" s="674"/>
      <c r="G134" s="674"/>
      <c r="H134" s="674"/>
      <c r="I134" s="674"/>
      <c r="J134" s="674"/>
      <c r="K134" s="468">
        <f>K11+K14+K23+K29+K32+K35+K41+K44+K47+K56+K59+K68+K71+K77+K83+K86+K95+K98+K101+K110+K113+K116</f>
        <v>216787.60777323548</v>
      </c>
      <c r="N134" s="317"/>
    </row>
    <row r="135" spans="1:21" x14ac:dyDescent="0.2">
      <c r="B135" s="235"/>
      <c r="C135" s="463"/>
      <c r="N135" s="317"/>
    </row>
    <row r="136" spans="1:21" x14ac:dyDescent="0.2">
      <c r="B136" s="233"/>
      <c r="C136" s="464"/>
      <c r="J136" s="213" t="e">
        <f>SUM(J11:J133)/M32</f>
        <v>#DIV/0!</v>
      </c>
      <c r="K136" s="213">
        <f>K134/91950.9</f>
        <v>2.357645306062643</v>
      </c>
    </row>
    <row r="137" spans="1:21" x14ac:dyDescent="0.2">
      <c r="B137" s="233"/>
      <c r="C137" s="464"/>
    </row>
  </sheetData>
  <mergeCells count="48">
    <mergeCell ref="A116:A133"/>
    <mergeCell ref="B116:B133"/>
    <mergeCell ref="A113:A115"/>
    <mergeCell ref="B113:B115"/>
    <mergeCell ref="A110:A112"/>
    <mergeCell ref="B110:B112"/>
    <mergeCell ref="A101:A109"/>
    <mergeCell ref="B101:B109"/>
    <mergeCell ref="A98:A100"/>
    <mergeCell ref="B98:B100"/>
    <mergeCell ref="A95:A97"/>
    <mergeCell ref="B95:B97"/>
    <mergeCell ref="A86:A94"/>
    <mergeCell ref="B86:B94"/>
    <mergeCell ref="A83:A85"/>
    <mergeCell ref="B83:B85"/>
    <mergeCell ref="A77:A82"/>
    <mergeCell ref="B77:B82"/>
    <mergeCell ref="B71:B76"/>
    <mergeCell ref="A68:A70"/>
    <mergeCell ref="B68:B70"/>
    <mergeCell ref="A59:A67"/>
    <mergeCell ref="B59:B67"/>
    <mergeCell ref="Y12:AA12"/>
    <mergeCell ref="A14:A22"/>
    <mergeCell ref="B14:B22"/>
    <mergeCell ref="A41:A43"/>
    <mergeCell ref="B41:B43"/>
    <mergeCell ref="A35:A40"/>
    <mergeCell ref="B35:B40"/>
    <mergeCell ref="A32:A34"/>
    <mergeCell ref="B32:B34"/>
    <mergeCell ref="A1:K1"/>
    <mergeCell ref="M8:M9"/>
    <mergeCell ref="A11:A13"/>
    <mergeCell ref="B11:B13"/>
    <mergeCell ref="A134:J134"/>
    <mergeCell ref="A29:A31"/>
    <mergeCell ref="B29:B31"/>
    <mergeCell ref="A23:A28"/>
    <mergeCell ref="B23:B28"/>
    <mergeCell ref="A56:A58"/>
    <mergeCell ref="B56:B58"/>
    <mergeCell ref="A47:A55"/>
    <mergeCell ref="B47:B55"/>
    <mergeCell ref="A44:A46"/>
    <mergeCell ref="B44:B46"/>
    <mergeCell ref="A71:A7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8E299-140B-4C6F-9ABB-2599D38700CF}">
  <dimension ref="A1:R57"/>
  <sheetViews>
    <sheetView topLeftCell="A29" workbookViewId="0">
      <selection activeCell="R55" sqref="R55"/>
    </sheetView>
  </sheetViews>
  <sheetFormatPr baseColWidth="10" defaultColWidth="8.83203125" defaultRowHeight="15" x14ac:dyDescent="0.2"/>
  <cols>
    <col min="1" max="1" width="10.1640625" customWidth="1"/>
    <col min="2" max="2" width="12.83203125" customWidth="1"/>
    <col min="3" max="3" width="13" customWidth="1"/>
    <col min="4" max="4" width="14.5" customWidth="1"/>
    <col min="5" max="6" width="14.83203125" customWidth="1"/>
    <col min="7" max="7" width="16.6640625" customWidth="1"/>
    <col min="8" max="8" width="16.83203125" customWidth="1"/>
    <col min="9" max="9" width="15" customWidth="1"/>
    <col min="10" max="10" width="18.83203125" customWidth="1"/>
    <col min="11" max="11" width="13.1640625" customWidth="1"/>
    <col min="12" max="12" width="13" customWidth="1"/>
    <col min="13" max="14" width="13.33203125" customWidth="1"/>
    <col min="15" max="15" width="14.5" customWidth="1"/>
    <col min="16" max="16" width="13" customWidth="1"/>
    <col min="17" max="17" width="11.6640625" customWidth="1"/>
    <col min="18" max="18" width="15.33203125" customWidth="1"/>
  </cols>
  <sheetData>
    <row r="1" spans="1:15" x14ac:dyDescent="0.2">
      <c r="A1" s="577" t="s">
        <v>415</v>
      </c>
      <c r="B1" s="577"/>
      <c r="C1" s="577"/>
      <c r="D1" s="577"/>
      <c r="E1" s="577"/>
      <c r="F1" s="577"/>
    </row>
    <row r="2" spans="1:15" x14ac:dyDescent="0.2">
      <c r="A2" s="108" t="s">
        <v>416</v>
      </c>
      <c r="B2" s="108">
        <v>2710</v>
      </c>
      <c r="E2" s="11"/>
    </row>
    <row r="3" spans="1:15" x14ac:dyDescent="0.2">
      <c r="A3" s="108" t="s">
        <v>417</v>
      </c>
      <c r="B3" s="108">
        <v>6</v>
      </c>
      <c r="E3" s="11"/>
    </row>
    <row r="5" spans="1:15" ht="77" customHeight="1" x14ac:dyDescent="0.2">
      <c r="A5" s="109" t="s">
        <v>164</v>
      </c>
      <c r="B5" s="54" t="s">
        <v>156</v>
      </c>
      <c r="C5" s="54" t="s">
        <v>64</v>
      </c>
      <c r="D5" s="54" t="s">
        <v>109</v>
      </c>
      <c r="E5" s="54" t="s">
        <v>653</v>
      </c>
      <c r="F5" s="54" t="s">
        <v>654</v>
      </c>
      <c r="G5" s="54" t="s">
        <v>89</v>
      </c>
      <c r="H5" s="54" t="s">
        <v>158</v>
      </c>
      <c r="I5" s="1"/>
      <c r="J5" s="1"/>
      <c r="K5" s="1"/>
      <c r="L5" s="1"/>
      <c r="M5" s="1"/>
      <c r="N5" s="1"/>
    </row>
    <row r="6" spans="1:15" ht="17" x14ac:dyDescent="0.2">
      <c r="A6" s="10"/>
      <c r="B6" s="225" t="s">
        <v>676</v>
      </c>
      <c r="C6" s="225" t="s">
        <v>677</v>
      </c>
      <c r="D6" s="225" t="s">
        <v>678</v>
      </c>
      <c r="E6" s="264" t="s">
        <v>635</v>
      </c>
      <c r="F6" s="264" t="s">
        <v>641</v>
      </c>
      <c r="G6" s="225" t="s">
        <v>679</v>
      </c>
      <c r="H6" s="225" t="s">
        <v>680</v>
      </c>
    </row>
    <row r="7" spans="1:15" x14ac:dyDescent="0.2">
      <c r="A7" s="10"/>
      <c r="B7" s="212" t="s">
        <v>60</v>
      </c>
      <c r="C7" s="212" t="s">
        <v>60</v>
      </c>
      <c r="D7" s="212" t="s">
        <v>6</v>
      </c>
      <c r="E7" s="212" t="s">
        <v>88</v>
      </c>
      <c r="F7" s="212" t="s">
        <v>6</v>
      </c>
      <c r="G7" s="212" t="s">
        <v>88</v>
      </c>
      <c r="H7" s="212" t="s">
        <v>6</v>
      </c>
    </row>
    <row r="8" spans="1:15" x14ac:dyDescent="0.2">
      <c r="A8" s="58" t="s">
        <v>356</v>
      </c>
      <c r="B8" s="10">
        <f>Fertilizer_baseline!W32</f>
        <v>572.50937151749042</v>
      </c>
      <c r="C8" s="114">
        <f>Burning_baseline!AD30</f>
        <v>243.42924110278429</v>
      </c>
      <c r="D8" s="114">
        <f>'BE_PE_CH4 Emission_Livestock'!$P$73</f>
        <v>29845.71333333333</v>
      </c>
      <c r="E8" s="118">
        <f>Manure_baseline!$D$14</f>
        <v>276.07470178916577</v>
      </c>
      <c r="F8" s="114">
        <f>Manure_baseline!$D$36</f>
        <v>9948.5711111111123</v>
      </c>
      <c r="G8" s="10">
        <f>'BR_woody perennials'!$AM$109</f>
        <v>7988.9127614672288</v>
      </c>
      <c r="H8" s="114">
        <f>B8+C8+D8+E8+F8-G8</f>
        <v>32897.384997386645</v>
      </c>
      <c r="I8" s="53"/>
      <c r="J8" s="81"/>
      <c r="K8" s="87"/>
      <c r="L8" s="87"/>
      <c r="M8" s="87"/>
      <c r="N8" s="87"/>
    </row>
    <row r="9" spans="1:15" x14ac:dyDescent="0.2">
      <c r="A9" s="58" t="s">
        <v>357</v>
      </c>
      <c r="B9" s="10">
        <f>Fertilizer_baseline!X32</f>
        <v>233.90371332669034</v>
      </c>
      <c r="C9" s="114">
        <f>Burning_baseline!AE30</f>
        <v>252.33679086846109</v>
      </c>
      <c r="D9" s="114">
        <f>'BE_PE_CH4 Emission_Livestock'!$P$73</f>
        <v>29845.71333333333</v>
      </c>
      <c r="E9" s="118">
        <f>Manure_baseline!$D$14</f>
        <v>276.07470178916577</v>
      </c>
      <c r="F9" s="114">
        <f>Manure_baseline!$D$36</f>
        <v>9948.5711111111123</v>
      </c>
      <c r="G9" s="10">
        <f>'BR_woody perennials'!$AM$109</f>
        <v>7988.9127614672288</v>
      </c>
      <c r="H9" s="114">
        <f t="shared" ref="H9:H12" si="0">B9+C9+D9+E9+F9-G9</f>
        <v>32567.686888961533</v>
      </c>
      <c r="I9" s="53"/>
      <c r="J9" s="81"/>
      <c r="K9" s="87"/>
      <c r="L9" s="87"/>
      <c r="M9" s="87"/>
      <c r="N9" s="87"/>
    </row>
    <row r="10" spans="1:15" x14ac:dyDescent="0.2">
      <c r="A10" s="58" t="s">
        <v>358</v>
      </c>
      <c r="B10" s="10">
        <f>Fertilizer_baseline!Y32</f>
        <v>561.19574324429038</v>
      </c>
      <c r="C10" s="114">
        <f>Burning_baseline!AF30</f>
        <v>262.87046605978151</v>
      </c>
      <c r="D10" s="114">
        <f>'BE_PE_CH4 Emission_Livestock'!$P$73</f>
        <v>29845.71333333333</v>
      </c>
      <c r="E10" s="118">
        <f>Manure_baseline!$D$14</f>
        <v>276.07470178916577</v>
      </c>
      <c r="F10" s="114">
        <f>Manure_baseline!$D$36</f>
        <v>9948.5711111111123</v>
      </c>
      <c r="G10" s="10">
        <f>'BR_woody perennials'!$AM$109</f>
        <v>7988.9127614672288</v>
      </c>
      <c r="H10" s="114">
        <f t="shared" si="0"/>
        <v>32905.512594070446</v>
      </c>
      <c r="I10" s="53"/>
      <c r="J10" s="81"/>
      <c r="K10" s="87"/>
      <c r="L10" s="87"/>
      <c r="M10" s="87"/>
      <c r="N10" s="87"/>
    </row>
    <row r="11" spans="1:15" x14ac:dyDescent="0.2">
      <c r="A11" s="58" t="s">
        <v>359</v>
      </c>
      <c r="B11" s="10">
        <f>Fertilizer_baseline!Z32</f>
        <v>561.19574324429038</v>
      </c>
      <c r="C11" s="114">
        <f>Burning_baseline!AG30</f>
        <v>275.40250110068746</v>
      </c>
      <c r="D11" s="114">
        <f>'BE_PE_CH4 Emission_Livestock'!$P$73</f>
        <v>29845.71333333333</v>
      </c>
      <c r="E11" s="118">
        <f>Manure_baseline!$D$14</f>
        <v>276.07470178916577</v>
      </c>
      <c r="F11" s="114">
        <f>Manure_baseline!$D$36</f>
        <v>9948.5711111111123</v>
      </c>
      <c r="G11" s="10">
        <f>'BR_woody perennials'!$AM$109</f>
        <v>7988.9127614672288</v>
      </c>
      <c r="H11" s="114">
        <f t="shared" si="0"/>
        <v>32918.044629111362</v>
      </c>
      <c r="I11" s="53"/>
      <c r="J11" s="81"/>
      <c r="K11" s="87"/>
      <c r="L11" s="87"/>
      <c r="M11" s="87"/>
      <c r="N11" s="87"/>
    </row>
    <row r="12" spans="1:15" x14ac:dyDescent="0.2">
      <c r="A12" s="58" t="s">
        <v>360</v>
      </c>
      <c r="B12" s="10">
        <f>Fertilizer_baseline!AA32</f>
        <v>561.19574324429038</v>
      </c>
      <c r="C12" s="114">
        <f>Burning_baseline!AH30</f>
        <v>284.15967004053448</v>
      </c>
      <c r="D12" s="114">
        <f>'BE_PE_CH4 Emission_Livestock'!$P$73</f>
        <v>29845.71333333333</v>
      </c>
      <c r="E12" s="118">
        <f>Manure_baseline!$D$14</f>
        <v>276.07470178916577</v>
      </c>
      <c r="F12" s="114">
        <f>Manure_baseline!$D$36</f>
        <v>9948.5711111111123</v>
      </c>
      <c r="G12" s="10">
        <f>'BR_woody perennials'!$AM$109</f>
        <v>7988.9127614672288</v>
      </c>
      <c r="H12" s="114">
        <f t="shared" si="0"/>
        <v>32926.801798051209</v>
      </c>
      <c r="I12" s="53"/>
      <c r="J12" s="81"/>
      <c r="K12" s="87"/>
      <c r="L12" s="87"/>
      <c r="M12" s="87"/>
      <c r="N12" s="87"/>
      <c r="O12" s="87"/>
    </row>
    <row r="13" spans="1:15" x14ac:dyDescent="0.2">
      <c r="A13" s="58" t="s">
        <v>437</v>
      </c>
      <c r="B13" s="10">
        <f>AVERAGE(B8:B12)</f>
        <v>498.00006291541041</v>
      </c>
      <c r="C13" s="114">
        <f t="shared" ref="C13:E13" si="1">AVERAGE(C8:C12)</f>
        <v>263.63973383444971</v>
      </c>
      <c r="D13" s="10">
        <f t="shared" si="1"/>
        <v>29845.71333333333</v>
      </c>
      <c r="E13" s="10">
        <f t="shared" si="1"/>
        <v>276.07470178916577</v>
      </c>
      <c r="F13" s="114">
        <f t="shared" ref="F13:G13" si="2">AVERAGE(F8:F12)</f>
        <v>9948.5711111111123</v>
      </c>
      <c r="G13" s="10">
        <f t="shared" si="2"/>
        <v>7988.9127614672298</v>
      </c>
      <c r="H13" s="114">
        <f t="shared" ref="H13" si="3">AVERAGE(H8:H12)</f>
        <v>32843.086181516235</v>
      </c>
      <c r="I13" s="53"/>
      <c r="J13" s="81"/>
      <c r="K13" s="87"/>
      <c r="L13" s="87"/>
      <c r="M13" s="87"/>
      <c r="N13" s="87"/>
    </row>
    <row r="14" spans="1:15" x14ac:dyDescent="0.2">
      <c r="F14" s="53">
        <f>E13+F13</f>
        <v>10224.645812900279</v>
      </c>
      <c r="L14" s="87"/>
      <c r="M14" s="87"/>
      <c r="N14" s="87"/>
    </row>
    <row r="15" spans="1:15" x14ac:dyDescent="0.2">
      <c r="L15" s="87"/>
      <c r="M15" s="87"/>
      <c r="N15" s="87"/>
    </row>
    <row r="16" spans="1:15" ht="96" x14ac:dyDescent="0.2">
      <c r="A16" s="39" t="s">
        <v>164</v>
      </c>
      <c r="B16" s="54" t="s">
        <v>151</v>
      </c>
      <c r="C16" s="54" t="s">
        <v>152</v>
      </c>
      <c r="D16" s="54" t="s">
        <v>154</v>
      </c>
      <c r="E16" s="54" t="s">
        <v>668</v>
      </c>
      <c r="F16" s="54" t="s">
        <v>669</v>
      </c>
      <c r="G16" s="54" t="s">
        <v>148</v>
      </c>
      <c r="H16" s="54" t="s">
        <v>141</v>
      </c>
      <c r="I16" s="54" t="s">
        <v>160</v>
      </c>
      <c r="L16" s="87"/>
      <c r="M16" s="87"/>
      <c r="N16" s="87"/>
    </row>
    <row r="17" spans="1:18" ht="17" x14ac:dyDescent="0.25">
      <c r="A17" s="10"/>
      <c r="B17" s="10" t="s">
        <v>150</v>
      </c>
      <c r="C17" s="10" t="s">
        <v>153</v>
      </c>
      <c r="D17" s="10" t="s">
        <v>155</v>
      </c>
      <c r="E17" s="264" t="s">
        <v>648</v>
      </c>
      <c r="F17" s="264" t="s">
        <v>652</v>
      </c>
      <c r="G17" s="10" t="s">
        <v>149</v>
      </c>
      <c r="H17" s="10" t="s">
        <v>142</v>
      </c>
      <c r="I17" s="10" t="s">
        <v>161</v>
      </c>
      <c r="L17" s="87"/>
      <c r="M17" s="87"/>
      <c r="N17" s="87"/>
    </row>
    <row r="18" spans="1:18" x14ac:dyDescent="0.2">
      <c r="A18" s="10"/>
      <c r="B18" s="10" t="s">
        <v>6</v>
      </c>
      <c r="C18" s="10" t="s">
        <v>6</v>
      </c>
      <c r="D18" s="10" t="s">
        <v>6</v>
      </c>
      <c r="E18" s="10" t="s">
        <v>88</v>
      </c>
      <c r="F18" s="10" t="s">
        <v>60</v>
      </c>
      <c r="G18" s="10" t="s">
        <v>88</v>
      </c>
      <c r="H18" s="10" t="s">
        <v>60</v>
      </c>
      <c r="I18" s="10" t="s">
        <v>60</v>
      </c>
      <c r="L18" s="87"/>
      <c r="M18" s="87"/>
      <c r="N18" s="87"/>
    </row>
    <row r="19" spans="1:18" x14ac:dyDescent="0.2">
      <c r="A19" s="10">
        <v>2018</v>
      </c>
      <c r="B19" s="10">
        <f>Fertilizer_project!W31</f>
        <v>472.97963160767046</v>
      </c>
      <c r="C19" s="114">
        <f>Burning_project!AD31</f>
        <v>71.956660575300262</v>
      </c>
      <c r="D19" s="114">
        <f>'BE_PE_CH4 Emission_Livestock'!Q73</f>
        <v>30802.856</v>
      </c>
      <c r="E19" s="116">
        <f>Manure_project!D11</f>
        <v>282.93126153320293</v>
      </c>
      <c r="F19" s="118">
        <f>Manure_project!D35</f>
        <v>10267.618666666667</v>
      </c>
      <c r="G19" s="116">
        <f>'PR_woody perennials'!AO147</f>
        <v>11728.694812336102</v>
      </c>
      <c r="H19" s="118">
        <f>'Project removal_SOC'!$K$134</f>
        <v>216787.60777323548</v>
      </c>
      <c r="I19" s="118">
        <f>B19+C19+D19+E19+F19-G19-H19</f>
        <v>-186617.96036518874</v>
      </c>
      <c r="L19" s="87"/>
      <c r="M19" s="87"/>
      <c r="N19" s="87"/>
    </row>
    <row r="20" spans="1:18" x14ac:dyDescent="0.2">
      <c r="A20" s="10">
        <v>2019</v>
      </c>
      <c r="B20" s="10">
        <f>Fertilizer_project!X31</f>
        <v>459.90247524265044</v>
      </c>
      <c r="C20" s="114">
        <f>Burning_project!AE31</f>
        <v>122.85984451059569</v>
      </c>
      <c r="D20" s="114">
        <f>'BE_PE_CH4 Emission_Livestock'!R73</f>
        <v>31333.763999999996</v>
      </c>
      <c r="E20" s="116">
        <f>Manure_project!E11</f>
        <v>287.89944129931285</v>
      </c>
      <c r="F20" s="118">
        <f>Manure_project!E35</f>
        <v>10444.588</v>
      </c>
      <c r="G20" s="116">
        <f>'PR_woody perennials'!AH147</f>
        <v>17164.112438403194</v>
      </c>
      <c r="H20" s="118">
        <f>'Project removal_SOC'!$K$134</f>
        <v>216787.60777323548</v>
      </c>
      <c r="I20" s="118">
        <f t="shared" ref="I20:I23" si="4">B20+C20+D20+E20+F20-G20-H20</f>
        <v>-191302.70645058612</v>
      </c>
      <c r="L20" s="87"/>
      <c r="M20" s="87"/>
      <c r="N20" s="87"/>
    </row>
    <row r="21" spans="1:18" x14ac:dyDescent="0.2">
      <c r="A21" s="10">
        <v>2020</v>
      </c>
      <c r="B21" s="10">
        <f>Fertilizer_project!Y31</f>
        <v>431.07009802681046</v>
      </c>
      <c r="C21" s="114">
        <f>Burning_project!AF31</f>
        <v>77.595518646202464</v>
      </c>
      <c r="D21" s="114">
        <f>'BE_PE_CH4 Emission_Livestock'!S73</f>
        <v>31552.051999999996</v>
      </c>
      <c r="E21" s="116">
        <f>Manure_project!F11</f>
        <v>290.89502856061995</v>
      </c>
      <c r="F21" s="118">
        <f>Manure_project!F35</f>
        <v>10517.350666666667</v>
      </c>
      <c r="G21" s="116">
        <f>'PR_woody perennials'!AA147</f>
        <v>13733.079118698233</v>
      </c>
      <c r="H21" s="118">
        <f>'Project removal_SOC'!$K$134</f>
        <v>216787.60777323548</v>
      </c>
      <c r="I21" s="118">
        <f t="shared" si="4"/>
        <v>-187651.7235800334</v>
      </c>
      <c r="L21" s="87"/>
      <c r="M21" s="87"/>
      <c r="N21" s="87"/>
    </row>
    <row r="22" spans="1:18" x14ac:dyDescent="0.2">
      <c r="A22" s="10">
        <v>2021</v>
      </c>
      <c r="B22" s="10">
        <f>Fertilizer_project!Z31</f>
        <v>423.37765310621046</v>
      </c>
      <c r="C22" s="114">
        <f>Burning_project!AG31</f>
        <v>114.92756178880715</v>
      </c>
      <c r="D22" s="114">
        <f>'BE_PE_CH4 Emission_Livestock'!T73</f>
        <v>31377.135999999991</v>
      </c>
      <c r="E22" s="116">
        <f>Manure_project!G11</f>
        <v>288.51518326975145</v>
      </c>
      <c r="F22" s="118">
        <f>Manure_project!G35</f>
        <v>10459.045333333333</v>
      </c>
      <c r="G22" s="116">
        <f>'PR_woody perennials'!T147</f>
        <v>15880.466472447612</v>
      </c>
      <c r="H22" s="118">
        <f>'Project removal_SOC'!$K$134</f>
        <v>216787.60777323548</v>
      </c>
      <c r="I22" s="118">
        <f t="shared" si="4"/>
        <v>-190005.07251418498</v>
      </c>
      <c r="L22" s="87"/>
      <c r="M22" s="87"/>
      <c r="N22" s="87"/>
    </row>
    <row r="23" spans="1:18" x14ac:dyDescent="0.2">
      <c r="A23" s="10">
        <v>2022</v>
      </c>
      <c r="B23" s="10">
        <f>Fertilizer_project!AA31</f>
        <v>423.37765310621046</v>
      </c>
      <c r="C23" s="114">
        <f>Burning_project!AH31</f>
        <v>72.518625338123741</v>
      </c>
      <c r="D23" s="114">
        <f>'BE_PE_CH4 Emission_Livestock'!U73</f>
        <v>31754.183999999994</v>
      </c>
      <c r="E23" s="116">
        <f>Manure_project!H11</f>
        <v>291.4666939987157</v>
      </c>
      <c r="F23" s="118">
        <f>Manure_project!H35</f>
        <v>10584.728000000001</v>
      </c>
      <c r="G23" s="116">
        <f>'PR_woody perennials'!M147</f>
        <v>13953.708491701935</v>
      </c>
      <c r="H23" s="118">
        <f>'Project removal_SOC'!$K$134</f>
        <v>216787.60777323548</v>
      </c>
      <c r="I23" s="118">
        <f t="shared" si="4"/>
        <v>-187615.04129249437</v>
      </c>
      <c r="L23" s="87"/>
      <c r="M23" s="87"/>
      <c r="N23" s="87"/>
    </row>
    <row r="24" spans="1:18" x14ac:dyDescent="0.2">
      <c r="A24" s="58" t="s">
        <v>437</v>
      </c>
      <c r="B24" s="10">
        <f>AVERAGE(B19:B23)</f>
        <v>442.14150221791044</v>
      </c>
      <c r="C24" s="10">
        <f t="shared" ref="C24:E24" si="5">AVERAGE(C19:C23)</f>
        <v>91.971642171805868</v>
      </c>
      <c r="D24" s="10">
        <f t="shared" si="5"/>
        <v>31363.998399999993</v>
      </c>
      <c r="E24" s="10">
        <f t="shared" si="5"/>
        <v>288.34152173232053</v>
      </c>
      <c r="F24" s="118">
        <f>AVERAGE(F19:F23)</f>
        <v>10454.666133333334</v>
      </c>
      <c r="G24" s="10">
        <f t="shared" ref="G24" si="6">AVERAGE(G19:G23)</f>
        <v>14492.012266717415</v>
      </c>
      <c r="H24" s="118">
        <f>AVERAGE(H19:H23)</f>
        <v>216787.60777323548</v>
      </c>
      <c r="I24" s="118">
        <f>AVERAGE(I19:I23)</f>
        <v>-188638.50084049752</v>
      </c>
      <c r="L24" s="87"/>
      <c r="M24" s="87"/>
      <c r="N24" s="87"/>
    </row>
    <row r="25" spans="1:18" x14ac:dyDescent="0.2">
      <c r="L25" s="87"/>
      <c r="M25" s="87"/>
      <c r="N25" s="87"/>
    </row>
    <row r="26" spans="1:18" x14ac:dyDescent="0.2">
      <c r="L26" s="87"/>
      <c r="M26" s="87"/>
      <c r="N26" s="87"/>
    </row>
    <row r="27" spans="1:18" x14ac:dyDescent="0.2">
      <c r="L27" s="87"/>
      <c r="M27" s="87"/>
      <c r="N27" s="87"/>
    </row>
    <row r="28" spans="1:18" ht="99" customHeight="1" x14ac:dyDescent="0.2">
      <c r="A28" s="109" t="s">
        <v>164</v>
      </c>
      <c r="B28" s="54" t="s">
        <v>156</v>
      </c>
      <c r="C28" s="54" t="s">
        <v>64</v>
      </c>
      <c r="D28" s="54" t="s">
        <v>109</v>
      </c>
      <c r="E28" s="54" t="s">
        <v>653</v>
      </c>
      <c r="F28" s="54" t="s">
        <v>654</v>
      </c>
      <c r="G28" s="54" t="s">
        <v>89</v>
      </c>
      <c r="H28" s="54" t="s">
        <v>158</v>
      </c>
      <c r="I28" s="54" t="s">
        <v>151</v>
      </c>
      <c r="J28" s="54" t="s">
        <v>152</v>
      </c>
      <c r="K28" s="54" t="s">
        <v>154</v>
      </c>
      <c r="L28" s="54" t="s">
        <v>668</v>
      </c>
      <c r="M28" s="54" t="s">
        <v>669</v>
      </c>
      <c r="N28" s="54"/>
      <c r="O28" s="54" t="s">
        <v>148</v>
      </c>
      <c r="P28" s="54" t="s">
        <v>141</v>
      </c>
      <c r="Q28" s="54" t="s">
        <v>160</v>
      </c>
      <c r="R28" s="54" t="s">
        <v>162</v>
      </c>
    </row>
    <row r="29" spans="1:18" ht="17" x14ac:dyDescent="0.25">
      <c r="A29" s="10"/>
      <c r="B29" s="10" t="s">
        <v>412</v>
      </c>
      <c r="C29" s="10" t="s">
        <v>157</v>
      </c>
      <c r="D29" s="10" t="s">
        <v>708</v>
      </c>
      <c r="E29" s="246" t="s">
        <v>706</v>
      </c>
      <c r="F29" s="246" t="s">
        <v>707</v>
      </c>
      <c r="G29" s="10" t="s">
        <v>413</v>
      </c>
      <c r="H29" s="10" t="s">
        <v>159</v>
      </c>
      <c r="I29" s="10" t="s">
        <v>150</v>
      </c>
      <c r="J29" s="10" t="s">
        <v>153</v>
      </c>
      <c r="K29" s="10" t="s">
        <v>155</v>
      </c>
      <c r="L29" s="264" t="s">
        <v>648</v>
      </c>
      <c r="M29" s="264" t="s">
        <v>652</v>
      </c>
      <c r="N29" s="264" t="s">
        <v>700</v>
      </c>
      <c r="O29" s="10" t="s">
        <v>149</v>
      </c>
      <c r="P29" s="10" t="s">
        <v>142</v>
      </c>
      <c r="Q29" s="10" t="s">
        <v>161</v>
      </c>
      <c r="R29" s="10" t="s">
        <v>163</v>
      </c>
    </row>
    <row r="30" spans="1:18" ht="19" customHeight="1" x14ac:dyDescent="0.2">
      <c r="A30" s="10"/>
      <c r="B30" s="10" t="s">
        <v>60</v>
      </c>
      <c r="C30" s="10" t="s">
        <v>60</v>
      </c>
      <c r="D30" s="10" t="s">
        <v>6</v>
      </c>
      <c r="E30" s="10" t="s">
        <v>6</v>
      </c>
      <c r="F30" s="10" t="s">
        <v>6</v>
      </c>
      <c r="G30" s="10" t="s">
        <v>88</v>
      </c>
      <c r="H30" s="10" t="s">
        <v>6</v>
      </c>
      <c r="I30" s="10" t="s">
        <v>6</v>
      </c>
      <c r="J30" s="10" t="s">
        <v>6</v>
      </c>
      <c r="K30" s="10" t="s">
        <v>6</v>
      </c>
      <c r="L30" s="10" t="s">
        <v>88</v>
      </c>
      <c r="M30" s="10" t="s">
        <v>60</v>
      </c>
      <c r="N30" s="10"/>
      <c r="O30" s="10" t="s">
        <v>88</v>
      </c>
      <c r="P30" s="10" t="s">
        <v>60</v>
      </c>
      <c r="Q30" s="10" t="s">
        <v>60</v>
      </c>
      <c r="R30" s="10" t="s">
        <v>60</v>
      </c>
    </row>
    <row r="31" spans="1:18" x14ac:dyDescent="0.2">
      <c r="A31" s="10">
        <v>2018</v>
      </c>
      <c r="B31" s="10">
        <f>($B$13)*C56/365</f>
        <v>251.04660705872743</v>
      </c>
      <c r="C31" s="10">
        <f>($C$13)*C56/365</f>
        <v>132.90331787818835</v>
      </c>
      <c r="D31" s="10">
        <f>($D$13)*C56/365</f>
        <v>15045.510283105023</v>
      </c>
      <c r="E31">
        <f>($E$13)*C56/365</f>
        <v>139.17190446357947</v>
      </c>
      <c r="F31" s="53">
        <f>($F$13)*C56/365</f>
        <v>5015.1700943683418</v>
      </c>
      <c r="G31" s="10">
        <f>($G$13)*C56/365</f>
        <v>4027.2875290684115</v>
      </c>
      <c r="H31" s="114">
        <f>($H$13)*C56/365</f>
        <v>16556.514677805444</v>
      </c>
      <c r="I31" s="116">
        <f>($B$24)*C56/365</f>
        <v>222.88777098108361</v>
      </c>
      <c r="J31" s="10">
        <f>($C$24)*C56/365</f>
        <v>46.363786738663784</v>
      </c>
      <c r="K31" s="114">
        <f>($D$24)*C56/365</f>
        <v>15810.892344109587</v>
      </c>
      <c r="L31" s="10">
        <f>($E$24)*C56/365</f>
        <v>145.35572602396431</v>
      </c>
      <c r="M31" s="118">
        <f>($F$24)*C56/365</f>
        <v>5270.2974480365301</v>
      </c>
      <c r="N31" s="118">
        <f>L31+M31</f>
        <v>5415.6531740604942</v>
      </c>
      <c r="O31" s="116">
        <f>($G$24)*C56/365</f>
        <v>7305.5623481534367</v>
      </c>
      <c r="P31" s="118">
        <f>($H$24)*C56/365</f>
        <v>109284.71186376803</v>
      </c>
      <c r="Q31" s="118">
        <f>($I$24)*C56/365</f>
        <v>-95094.477136031637</v>
      </c>
      <c r="R31" s="114">
        <f>H31-Q31</f>
        <v>111650.99181383708</v>
      </c>
    </row>
    <row r="32" spans="1:18" x14ac:dyDescent="0.2">
      <c r="A32" s="10">
        <v>2019</v>
      </c>
      <c r="B32" s="10">
        <f t="shared" ref="B32:B50" si="7">$B$13</f>
        <v>498.00006291541041</v>
      </c>
      <c r="C32" s="10">
        <f t="shared" ref="C32:C50" si="8">$C$13</f>
        <v>263.63973383444971</v>
      </c>
      <c r="D32" s="10">
        <f t="shared" ref="D32:D50" si="9">$D$13</f>
        <v>29845.71333333333</v>
      </c>
      <c r="E32">
        <f t="shared" ref="E32:E50" si="10">$E$13</f>
        <v>276.07470178916577</v>
      </c>
      <c r="F32" s="53">
        <f t="shared" ref="F32:F50" si="11">$F$13</f>
        <v>9948.5711111111123</v>
      </c>
      <c r="G32" s="10">
        <f t="shared" ref="G32:G50" si="12">$G$13</f>
        <v>7988.9127614672298</v>
      </c>
      <c r="H32" s="114">
        <f t="shared" ref="H32:H50" si="13">$H$13</f>
        <v>32843.086181516235</v>
      </c>
      <c r="I32" s="116">
        <f t="shared" ref="I32:I50" si="14">$B$24</f>
        <v>442.14150221791044</v>
      </c>
      <c r="J32" s="10">
        <f t="shared" ref="J32:J50" si="15">$C$24</f>
        <v>91.971642171805868</v>
      </c>
      <c r="K32" s="114">
        <f t="shared" ref="K32:K50" si="16">$D$24</f>
        <v>31363.998399999993</v>
      </c>
      <c r="L32" s="10">
        <f t="shared" ref="L32:L50" si="17">$E$24</f>
        <v>288.34152173232053</v>
      </c>
      <c r="M32" s="118">
        <f t="shared" ref="M32:M50" si="18">$F$24</f>
        <v>10454.666133333334</v>
      </c>
      <c r="N32" s="118">
        <f t="shared" ref="N32:N51" si="19">L32+M32</f>
        <v>10743.007655065654</v>
      </c>
      <c r="O32" s="116">
        <f t="shared" ref="O32:O50" si="20">$G$24</f>
        <v>14492.012266717415</v>
      </c>
      <c r="P32" s="118">
        <f t="shared" ref="P32:P50" si="21">$H$24</f>
        <v>216787.60777323548</v>
      </c>
      <c r="Q32" s="118">
        <f t="shared" ref="Q32:Q50" si="22">$I$24</f>
        <v>-188638.50084049752</v>
      </c>
      <c r="R32" s="114">
        <f t="shared" ref="R32:R51" si="23">H32-Q32</f>
        <v>221481.58702201376</v>
      </c>
    </row>
    <row r="33" spans="1:18" x14ac:dyDescent="0.2">
      <c r="A33" s="10">
        <v>2020</v>
      </c>
      <c r="B33" s="10">
        <f t="shared" si="7"/>
        <v>498.00006291541041</v>
      </c>
      <c r="C33" s="10">
        <f t="shared" si="8"/>
        <v>263.63973383444971</v>
      </c>
      <c r="D33" s="10">
        <f t="shared" si="9"/>
        <v>29845.71333333333</v>
      </c>
      <c r="E33">
        <f t="shared" si="10"/>
        <v>276.07470178916577</v>
      </c>
      <c r="F33" s="53">
        <f t="shared" si="11"/>
        <v>9948.5711111111123</v>
      </c>
      <c r="G33" s="10">
        <f t="shared" si="12"/>
        <v>7988.9127614672298</v>
      </c>
      <c r="H33" s="114">
        <f t="shared" si="13"/>
        <v>32843.086181516235</v>
      </c>
      <c r="I33" s="116">
        <f t="shared" si="14"/>
        <v>442.14150221791044</v>
      </c>
      <c r="J33" s="10">
        <f t="shared" si="15"/>
        <v>91.971642171805868</v>
      </c>
      <c r="K33" s="114">
        <f t="shared" si="16"/>
        <v>31363.998399999993</v>
      </c>
      <c r="L33" s="10">
        <f t="shared" si="17"/>
        <v>288.34152173232053</v>
      </c>
      <c r="M33" s="118">
        <f t="shared" si="18"/>
        <v>10454.666133333334</v>
      </c>
      <c r="N33" s="118">
        <f t="shared" si="19"/>
        <v>10743.007655065654</v>
      </c>
      <c r="O33" s="116">
        <f t="shared" si="20"/>
        <v>14492.012266717415</v>
      </c>
      <c r="P33" s="118">
        <f t="shared" si="21"/>
        <v>216787.60777323548</v>
      </c>
      <c r="Q33" s="118">
        <f t="shared" si="22"/>
        <v>-188638.50084049752</v>
      </c>
      <c r="R33" s="114">
        <f t="shared" si="23"/>
        <v>221481.58702201376</v>
      </c>
    </row>
    <row r="34" spans="1:18" x14ac:dyDescent="0.2">
      <c r="A34" s="10">
        <v>2021</v>
      </c>
      <c r="B34" s="10">
        <f t="shared" si="7"/>
        <v>498.00006291541041</v>
      </c>
      <c r="C34" s="10">
        <f t="shared" si="8"/>
        <v>263.63973383444971</v>
      </c>
      <c r="D34" s="10">
        <f t="shared" si="9"/>
        <v>29845.71333333333</v>
      </c>
      <c r="E34">
        <f t="shared" si="10"/>
        <v>276.07470178916577</v>
      </c>
      <c r="F34" s="53">
        <f t="shared" si="11"/>
        <v>9948.5711111111123</v>
      </c>
      <c r="G34" s="10">
        <f t="shared" si="12"/>
        <v>7988.9127614672298</v>
      </c>
      <c r="H34" s="114">
        <f t="shared" si="13"/>
        <v>32843.086181516235</v>
      </c>
      <c r="I34" s="116">
        <f t="shared" si="14"/>
        <v>442.14150221791044</v>
      </c>
      <c r="J34" s="10">
        <f t="shared" si="15"/>
        <v>91.971642171805868</v>
      </c>
      <c r="K34" s="114">
        <f t="shared" si="16"/>
        <v>31363.998399999993</v>
      </c>
      <c r="L34" s="10">
        <f t="shared" si="17"/>
        <v>288.34152173232053</v>
      </c>
      <c r="M34" s="118">
        <f t="shared" si="18"/>
        <v>10454.666133333334</v>
      </c>
      <c r="N34" s="118">
        <f t="shared" si="19"/>
        <v>10743.007655065654</v>
      </c>
      <c r="O34" s="116">
        <f t="shared" si="20"/>
        <v>14492.012266717415</v>
      </c>
      <c r="P34" s="118">
        <f t="shared" si="21"/>
        <v>216787.60777323548</v>
      </c>
      <c r="Q34" s="118">
        <f t="shared" si="22"/>
        <v>-188638.50084049752</v>
      </c>
      <c r="R34" s="114">
        <f t="shared" si="23"/>
        <v>221481.58702201376</v>
      </c>
    </row>
    <row r="35" spans="1:18" x14ac:dyDescent="0.2">
      <c r="A35" s="10">
        <v>2022</v>
      </c>
      <c r="B35" s="10">
        <f t="shared" si="7"/>
        <v>498.00006291541041</v>
      </c>
      <c r="C35" s="10">
        <f t="shared" si="8"/>
        <v>263.63973383444971</v>
      </c>
      <c r="D35" s="10">
        <f t="shared" si="9"/>
        <v>29845.71333333333</v>
      </c>
      <c r="E35">
        <f t="shared" si="10"/>
        <v>276.07470178916577</v>
      </c>
      <c r="F35" s="53">
        <f t="shared" si="11"/>
        <v>9948.5711111111123</v>
      </c>
      <c r="G35" s="10">
        <f t="shared" si="12"/>
        <v>7988.9127614672298</v>
      </c>
      <c r="H35" s="114">
        <f t="shared" si="13"/>
        <v>32843.086181516235</v>
      </c>
      <c r="I35" s="116">
        <f t="shared" si="14"/>
        <v>442.14150221791044</v>
      </c>
      <c r="J35" s="10">
        <f t="shared" si="15"/>
        <v>91.971642171805868</v>
      </c>
      <c r="K35" s="114">
        <f t="shared" si="16"/>
        <v>31363.998399999993</v>
      </c>
      <c r="L35" s="10">
        <f t="shared" si="17"/>
        <v>288.34152173232053</v>
      </c>
      <c r="M35" s="118">
        <f t="shared" si="18"/>
        <v>10454.666133333334</v>
      </c>
      <c r="N35" s="118">
        <f t="shared" si="19"/>
        <v>10743.007655065654</v>
      </c>
      <c r="O35" s="116">
        <f t="shared" si="20"/>
        <v>14492.012266717415</v>
      </c>
      <c r="P35" s="118">
        <f t="shared" si="21"/>
        <v>216787.60777323548</v>
      </c>
      <c r="Q35" s="118">
        <f t="shared" si="22"/>
        <v>-188638.50084049752</v>
      </c>
      <c r="R35" s="114">
        <f t="shared" si="23"/>
        <v>221481.58702201376</v>
      </c>
    </row>
    <row r="36" spans="1:18" x14ac:dyDescent="0.2">
      <c r="A36" s="10">
        <v>2023</v>
      </c>
      <c r="B36" s="10">
        <f t="shared" si="7"/>
        <v>498.00006291541041</v>
      </c>
      <c r="C36" s="10">
        <f t="shared" si="8"/>
        <v>263.63973383444971</v>
      </c>
      <c r="D36" s="10">
        <f t="shared" si="9"/>
        <v>29845.71333333333</v>
      </c>
      <c r="E36">
        <f t="shared" si="10"/>
        <v>276.07470178916577</v>
      </c>
      <c r="F36" s="53">
        <f t="shared" si="11"/>
        <v>9948.5711111111123</v>
      </c>
      <c r="G36" s="10">
        <f t="shared" si="12"/>
        <v>7988.9127614672298</v>
      </c>
      <c r="H36" s="114">
        <f t="shared" si="13"/>
        <v>32843.086181516235</v>
      </c>
      <c r="I36" s="116">
        <f t="shared" si="14"/>
        <v>442.14150221791044</v>
      </c>
      <c r="J36" s="10">
        <f t="shared" si="15"/>
        <v>91.971642171805868</v>
      </c>
      <c r="K36" s="114">
        <f t="shared" si="16"/>
        <v>31363.998399999993</v>
      </c>
      <c r="L36" s="10">
        <f t="shared" si="17"/>
        <v>288.34152173232053</v>
      </c>
      <c r="M36" s="118">
        <f t="shared" si="18"/>
        <v>10454.666133333334</v>
      </c>
      <c r="N36" s="118">
        <f t="shared" si="19"/>
        <v>10743.007655065654</v>
      </c>
      <c r="O36" s="116">
        <f t="shared" si="20"/>
        <v>14492.012266717415</v>
      </c>
      <c r="P36" s="118">
        <f t="shared" si="21"/>
        <v>216787.60777323548</v>
      </c>
      <c r="Q36" s="118">
        <f t="shared" si="22"/>
        <v>-188638.50084049752</v>
      </c>
      <c r="R36" s="114">
        <f t="shared" si="23"/>
        <v>221481.58702201376</v>
      </c>
    </row>
    <row r="37" spans="1:18" x14ac:dyDescent="0.2">
      <c r="A37" s="10">
        <v>2024</v>
      </c>
      <c r="B37" s="10">
        <f t="shared" si="7"/>
        <v>498.00006291541041</v>
      </c>
      <c r="C37" s="10">
        <f t="shared" si="8"/>
        <v>263.63973383444971</v>
      </c>
      <c r="D37" s="10">
        <f t="shared" si="9"/>
        <v>29845.71333333333</v>
      </c>
      <c r="E37">
        <f t="shared" si="10"/>
        <v>276.07470178916577</v>
      </c>
      <c r="F37" s="53">
        <f t="shared" si="11"/>
        <v>9948.5711111111123</v>
      </c>
      <c r="G37" s="10">
        <f t="shared" si="12"/>
        <v>7988.9127614672298</v>
      </c>
      <c r="H37" s="114">
        <f t="shared" si="13"/>
        <v>32843.086181516235</v>
      </c>
      <c r="I37" s="116">
        <f t="shared" si="14"/>
        <v>442.14150221791044</v>
      </c>
      <c r="J37" s="10">
        <f t="shared" si="15"/>
        <v>91.971642171805868</v>
      </c>
      <c r="K37" s="114">
        <f t="shared" si="16"/>
        <v>31363.998399999993</v>
      </c>
      <c r="L37" s="10">
        <f t="shared" si="17"/>
        <v>288.34152173232053</v>
      </c>
      <c r="M37" s="118">
        <f t="shared" si="18"/>
        <v>10454.666133333334</v>
      </c>
      <c r="N37" s="118">
        <f t="shared" si="19"/>
        <v>10743.007655065654</v>
      </c>
      <c r="O37" s="116">
        <f t="shared" si="20"/>
        <v>14492.012266717415</v>
      </c>
      <c r="P37" s="118">
        <f t="shared" si="21"/>
        <v>216787.60777323548</v>
      </c>
      <c r="Q37" s="118">
        <f t="shared" si="22"/>
        <v>-188638.50084049752</v>
      </c>
      <c r="R37" s="114">
        <f t="shared" si="23"/>
        <v>221481.58702201376</v>
      </c>
    </row>
    <row r="38" spans="1:18" x14ac:dyDescent="0.2">
      <c r="A38" s="10">
        <v>2025</v>
      </c>
      <c r="B38" s="10">
        <f t="shared" si="7"/>
        <v>498.00006291541041</v>
      </c>
      <c r="C38" s="10">
        <f t="shared" si="8"/>
        <v>263.63973383444971</v>
      </c>
      <c r="D38" s="10">
        <f t="shared" si="9"/>
        <v>29845.71333333333</v>
      </c>
      <c r="E38">
        <f t="shared" si="10"/>
        <v>276.07470178916577</v>
      </c>
      <c r="F38" s="53">
        <f t="shared" si="11"/>
        <v>9948.5711111111123</v>
      </c>
      <c r="G38" s="10">
        <f t="shared" si="12"/>
        <v>7988.9127614672298</v>
      </c>
      <c r="H38" s="114">
        <f t="shared" si="13"/>
        <v>32843.086181516235</v>
      </c>
      <c r="I38" s="116">
        <f t="shared" si="14"/>
        <v>442.14150221791044</v>
      </c>
      <c r="J38" s="10">
        <f t="shared" si="15"/>
        <v>91.971642171805868</v>
      </c>
      <c r="K38" s="114">
        <f t="shared" si="16"/>
        <v>31363.998399999993</v>
      </c>
      <c r="L38" s="10">
        <f t="shared" si="17"/>
        <v>288.34152173232053</v>
      </c>
      <c r="M38" s="118">
        <f t="shared" si="18"/>
        <v>10454.666133333334</v>
      </c>
      <c r="N38" s="118">
        <f t="shared" si="19"/>
        <v>10743.007655065654</v>
      </c>
      <c r="O38" s="116">
        <f t="shared" si="20"/>
        <v>14492.012266717415</v>
      </c>
      <c r="P38" s="118">
        <f t="shared" si="21"/>
        <v>216787.60777323548</v>
      </c>
      <c r="Q38" s="118">
        <f t="shared" si="22"/>
        <v>-188638.50084049752</v>
      </c>
      <c r="R38" s="114">
        <f t="shared" si="23"/>
        <v>221481.58702201376</v>
      </c>
    </row>
    <row r="39" spans="1:18" x14ac:dyDescent="0.2">
      <c r="A39" s="10">
        <v>2026</v>
      </c>
      <c r="B39" s="10">
        <f t="shared" si="7"/>
        <v>498.00006291541041</v>
      </c>
      <c r="C39" s="10">
        <f t="shared" si="8"/>
        <v>263.63973383444971</v>
      </c>
      <c r="D39" s="10">
        <f t="shared" si="9"/>
        <v>29845.71333333333</v>
      </c>
      <c r="E39">
        <f t="shared" si="10"/>
        <v>276.07470178916577</v>
      </c>
      <c r="F39" s="53">
        <f t="shared" si="11"/>
        <v>9948.5711111111123</v>
      </c>
      <c r="G39" s="10">
        <f t="shared" si="12"/>
        <v>7988.9127614672298</v>
      </c>
      <c r="H39" s="114">
        <f t="shared" si="13"/>
        <v>32843.086181516235</v>
      </c>
      <c r="I39" s="116">
        <f t="shared" si="14"/>
        <v>442.14150221791044</v>
      </c>
      <c r="J39" s="10">
        <f t="shared" si="15"/>
        <v>91.971642171805868</v>
      </c>
      <c r="K39" s="114">
        <f t="shared" si="16"/>
        <v>31363.998399999993</v>
      </c>
      <c r="L39" s="10">
        <f t="shared" si="17"/>
        <v>288.34152173232053</v>
      </c>
      <c r="M39" s="118">
        <f t="shared" si="18"/>
        <v>10454.666133333334</v>
      </c>
      <c r="N39" s="118">
        <f t="shared" si="19"/>
        <v>10743.007655065654</v>
      </c>
      <c r="O39" s="116">
        <f t="shared" si="20"/>
        <v>14492.012266717415</v>
      </c>
      <c r="P39" s="118">
        <f t="shared" si="21"/>
        <v>216787.60777323548</v>
      </c>
      <c r="Q39" s="118">
        <f t="shared" si="22"/>
        <v>-188638.50084049752</v>
      </c>
      <c r="R39" s="114">
        <f t="shared" si="23"/>
        <v>221481.58702201376</v>
      </c>
    </row>
    <row r="40" spans="1:18" x14ac:dyDescent="0.2">
      <c r="A40" s="10">
        <v>2027</v>
      </c>
      <c r="B40" s="10">
        <f t="shared" si="7"/>
        <v>498.00006291541041</v>
      </c>
      <c r="C40" s="10">
        <f t="shared" si="8"/>
        <v>263.63973383444971</v>
      </c>
      <c r="D40" s="10">
        <f t="shared" si="9"/>
        <v>29845.71333333333</v>
      </c>
      <c r="E40">
        <f t="shared" si="10"/>
        <v>276.07470178916577</v>
      </c>
      <c r="F40" s="53">
        <f t="shared" si="11"/>
        <v>9948.5711111111123</v>
      </c>
      <c r="G40" s="10">
        <f t="shared" si="12"/>
        <v>7988.9127614672298</v>
      </c>
      <c r="H40" s="114">
        <f t="shared" si="13"/>
        <v>32843.086181516235</v>
      </c>
      <c r="I40" s="116">
        <f t="shared" si="14"/>
        <v>442.14150221791044</v>
      </c>
      <c r="J40" s="10">
        <f t="shared" si="15"/>
        <v>91.971642171805868</v>
      </c>
      <c r="K40" s="114">
        <f t="shared" si="16"/>
        <v>31363.998399999993</v>
      </c>
      <c r="L40" s="10">
        <f t="shared" si="17"/>
        <v>288.34152173232053</v>
      </c>
      <c r="M40" s="118">
        <f t="shared" si="18"/>
        <v>10454.666133333334</v>
      </c>
      <c r="N40" s="118">
        <f t="shared" si="19"/>
        <v>10743.007655065654</v>
      </c>
      <c r="O40" s="116">
        <f t="shared" si="20"/>
        <v>14492.012266717415</v>
      </c>
      <c r="P40" s="118">
        <f t="shared" si="21"/>
        <v>216787.60777323548</v>
      </c>
      <c r="Q40" s="118">
        <f t="shared" si="22"/>
        <v>-188638.50084049752</v>
      </c>
      <c r="R40" s="114">
        <f t="shared" si="23"/>
        <v>221481.58702201376</v>
      </c>
    </row>
    <row r="41" spans="1:18" x14ac:dyDescent="0.2">
      <c r="A41" s="10">
        <v>2028</v>
      </c>
      <c r="B41" s="10">
        <f t="shared" si="7"/>
        <v>498.00006291541041</v>
      </c>
      <c r="C41" s="10">
        <f t="shared" si="8"/>
        <v>263.63973383444971</v>
      </c>
      <c r="D41" s="10">
        <f t="shared" si="9"/>
        <v>29845.71333333333</v>
      </c>
      <c r="E41">
        <f t="shared" si="10"/>
        <v>276.07470178916577</v>
      </c>
      <c r="F41" s="53">
        <f t="shared" si="11"/>
        <v>9948.5711111111123</v>
      </c>
      <c r="G41" s="10">
        <f t="shared" si="12"/>
        <v>7988.9127614672298</v>
      </c>
      <c r="H41" s="114">
        <f t="shared" si="13"/>
        <v>32843.086181516235</v>
      </c>
      <c r="I41" s="116">
        <f t="shared" si="14"/>
        <v>442.14150221791044</v>
      </c>
      <c r="J41" s="10">
        <f t="shared" si="15"/>
        <v>91.971642171805868</v>
      </c>
      <c r="K41" s="114">
        <f t="shared" si="16"/>
        <v>31363.998399999993</v>
      </c>
      <c r="L41" s="10">
        <f t="shared" si="17"/>
        <v>288.34152173232053</v>
      </c>
      <c r="M41" s="118">
        <f t="shared" si="18"/>
        <v>10454.666133333334</v>
      </c>
      <c r="N41" s="118">
        <f t="shared" si="19"/>
        <v>10743.007655065654</v>
      </c>
      <c r="O41" s="116">
        <f t="shared" si="20"/>
        <v>14492.012266717415</v>
      </c>
      <c r="P41" s="118">
        <f t="shared" si="21"/>
        <v>216787.60777323548</v>
      </c>
      <c r="Q41" s="118">
        <f t="shared" si="22"/>
        <v>-188638.50084049752</v>
      </c>
      <c r="R41" s="114">
        <f t="shared" si="23"/>
        <v>221481.58702201376</v>
      </c>
    </row>
    <row r="42" spans="1:18" x14ac:dyDescent="0.2">
      <c r="A42" s="10">
        <v>2029</v>
      </c>
      <c r="B42" s="10">
        <f t="shared" si="7"/>
        <v>498.00006291541041</v>
      </c>
      <c r="C42" s="10">
        <f t="shared" si="8"/>
        <v>263.63973383444971</v>
      </c>
      <c r="D42" s="10">
        <f t="shared" si="9"/>
        <v>29845.71333333333</v>
      </c>
      <c r="E42">
        <f t="shared" si="10"/>
        <v>276.07470178916577</v>
      </c>
      <c r="F42" s="53">
        <f t="shared" si="11"/>
        <v>9948.5711111111123</v>
      </c>
      <c r="G42" s="10">
        <f t="shared" si="12"/>
        <v>7988.9127614672298</v>
      </c>
      <c r="H42" s="114">
        <f t="shared" si="13"/>
        <v>32843.086181516235</v>
      </c>
      <c r="I42" s="116">
        <f t="shared" si="14"/>
        <v>442.14150221791044</v>
      </c>
      <c r="J42" s="10">
        <f t="shared" si="15"/>
        <v>91.971642171805868</v>
      </c>
      <c r="K42" s="114">
        <f t="shared" si="16"/>
        <v>31363.998399999993</v>
      </c>
      <c r="L42" s="10">
        <f t="shared" si="17"/>
        <v>288.34152173232053</v>
      </c>
      <c r="M42" s="118">
        <f t="shared" si="18"/>
        <v>10454.666133333334</v>
      </c>
      <c r="N42" s="118">
        <f t="shared" si="19"/>
        <v>10743.007655065654</v>
      </c>
      <c r="O42" s="116">
        <f t="shared" si="20"/>
        <v>14492.012266717415</v>
      </c>
      <c r="P42" s="118">
        <f t="shared" si="21"/>
        <v>216787.60777323548</v>
      </c>
      <c r="Q42" s="118">
        <f t="shared" si="22"/>
        <v>-188638.50084049752</v>
      </c>
      <c r="R42" s="114">
        <f t="shared" si="23"/>
        <v>221481.58702201376</v>
      </c>
    </row>
    <row r="43" spans="1:18" x14ac:dyDescent="0.2">
      <c r="A43" s="10">
        <v>2030</v>
      </c>
      <c r="B43" s="10">
        <f t="shared" si="7"/>
        <v>498.00006291541041</v>
      </c>
      <c r="C43" s="10">
        <f t="shared" si="8"/>
        <v>263.63973383444971</v>
      </c>
      <c r="D43" s="10">
        <f t="shared" si="9"/>
        <v>29845.71333333333</v>
      </c>
      <c r="E43">
        <f t="shared" si="10"/>
        <v>276.07470178916577</v>
      </c>
      <c r="F43" s="53">
        <f t="shared" si="11"/>
        <v>9948.5711111111123</v>
      </c>
      <c r="G43" s="10">
        <f t="shared" si="12"/>
        <v>7988.9127614672298</v>
      </c>
      <c r="H43" s="114">
        <f t="shared" si="13"/>
        <v>32843.086181516235</v>
      </c>
      <c r="I43" s="116">
        <f t="shared" si="14"/>
        <v>442.14150221791044</v>
      </c>
      <c r="J43" s="10">
        <f t="shared" si="15"/>
        <v>91.971642171805868</v>
      </c>
      <c r="K43" s="114">
        <f t="shared" si="16"/>
        <v>31363.998399999993</v>
      </c>
      <c r="L43" s="10">
        <f t="shared" si="17"/>
        <v>288.34152173232053</v>
      </c>
      <c r="M43" s="118">
        <f t="shared" si="18"/>
        <v>10454.666133333334</v>
      </c>
      <c r="N43" s="118">
        <f t="shared" si="19"/>
        <v>10743.007655065654</v>
      </c>
      <c r="O43" s="116">
        <f t="shared" si="20"/>
        <v>14492.012266717415</v>
      </c>
      <c r="P43" s="118">
        <f t="shared" si="21"/>
        <v>216787.60777323548</v>
      </c>
      <c r="Q43" s="118">
        <f t="shared" si="22"/>
        <v>-188638.50084049752</v>
      </c>
      <c r="R43" s="114">
        <f t="shared" si="23"/>
        <v>221481.58702201376</v>
      </c>
    </row>
    <row r="44" spans="1:18" x14ac:dyDescent="0.2">
      <c r="A44" s="10">
        <v>2031</v>
      </c>
      <c r="B44" s="10">
        <f t="shared" si="7"/>
        <v>498.00006291541041</v>
      </c>
      <c r="C44" s="10">
        <f t="shared" si="8"/>
        <v>263.63973383444971</v>
      </c>
      <c r="D44" s="10">
        <f t="shared" si="9"/>
        <v>29845.71333333333</v>
      </c>
      <c r="E44">
        <f t="shared" si="10"/>
        <v>276.07470178916577</v>
      </c>
      <c r="F44" s="53">
        <f t="shared" si="11"/>
        <v>9948.5711111111123</v>
      </c>
      <c r="G44" s="10">
        <f t="shared" si="12"/>
        <v>7988.9127614672298</v>
      </c>
      <c r="H44" s="114">
        <f t="shared" si="13"/>
        <v>32843.086181516235</v>
      </c>
      <c r="I44" s="116">
        <f t="shared" si="14"/>
        <v>442.14150221791044</v>
      </c>
      <c r="J44" s="10">
        <f t="shared" si="15"/>
        <v>91.971642171805868</v>
      </c>
      <c r="K44" s="114">
        <f t="shared" si="16"/>
        <v>31363.998399999993</v>
      </c>
      <c r="L44" s="10">
        <f t="shared" si="17"/>
        <v>288.34152173232053</v>
      </c>
      <c r="M44" s="118">
        <f t="shared" si="18"/>
        <v>10454.666133333334</v>
      </c>
      <c r="N44" s="118">
        <f t="shared" si="19"/>
        <v>10743.007655065654</v>
      </c>
      <c r="O44" s="116">
        <f t="shared" si="20"/>
        <v>14492.012266717415</v>
      </c>
      <c r="P44" s="118">
        <f t="shared" si="21"/>
        <v>216787.60777323548</v>
      </c>
      <c r="Q44" s="118">
        <f t="shared" si="22"/>
        <v>-188638.50084049752</v>
      </c>
      <c r="R44" s="114">
        <f t="shared" si="23"/>
        <v>221481.58702201376</v>
      </c>
    </row>
    <row r="45" spans="1:18" x14ac:dyDescent="0.2">
      <c r="A45" s="10">
        <v>2032</v>
      </c>
      <c r="B45" s="10">
        <f t="shared" si="7"/>
        <v>498.00006291541041</v>
      </c>
      <c r="C45" s="10">
        <f t="shared" si="8"/>
        <v>263.63973383444971</v>
      </c>
      <c r="D45" s="10">
        <f t="shared" si="9"/>
        <v>29845.71333333333</v>
      </c>
      <c r="E45">
        <f t="shared" si="10"/>
        <v>276.07470178916577</v>
      </c>
      <c r="F45" s="53">
        <f t="shared" si="11"/>
        <v>9948.5711111111123</v>
      </c>
      <c r="G45" s="10">
        <f t="shared" si="12"/>
        <v>7988.9127614672298</v>
      </c>
      <c r="H45" s="114">
        <f t="shared" si="13"/>
        <v>32843.086181516235</v>
      </c>
      <c r="I45" s="116">
        <f t="shared" si="14"/>
        <v>442.14150221791044</v>
      </c>
      <c r="J45" s="10">
        <f t="shared" si="15"/>
        <v>91.971642171805868</v>
      </c>
      <c r="K45" s="114">
        <f t="shared" si="16"/>
        <v>31363.998399999993</v>
      </c>
      <c r="L45" s="10">
        <f t="shared" si="17"/>
        <v>288.34152173232053</v>
      </c>
      <c r="M45" s="118">
        <f t="shared" si="18"/>
        <v>10454.666133333334</v>
      </c>
      <c r="N45" s="118">
        <f t="shared" si="19"/>
        <v>10743.007655065654</v>
      </c>
      <c r="O45" s="116">
        <f t="shared" si="20"/>
        <v>14492.012266717415</v>
      </c>
      <c r="P45" s="118">
        <f t="shared" si="21"/>
        <v>216787.60777323548</v>
      </c>
      <c r="Q45" s="118">
        <f t="shared" si="22"/>
        <v>-188638.50084049752</v>
      </c>
      <c r="R45" s="114">
        <f t="shared" si="23"/>
        <v>221481.58702201376</v>
      </c>
    </row>
    <row r="46" spans="1:18" x14ac:dyDescent="0.2">
      <c r="A46" s="10">
        <v>2033</v>
      </c>
      <c r="B46" s="10">
        <f t="shared" si="7"/>
        <v>498.00006291541041</v>
      </c>
      <c r="C46" s="10">
        <f t="shared" si="8"/>
        <v>263.63973383444971</v>
      </c>
      <c r="D46" s="10">
        <f t="shared" si="9"/>
        <v>29845.71333333333</v>
      </c>
      <c r="E46">
        <f t="shared" si="10"/>
        <v>276.07470178916577</v>
      </c>
      <c r="F46" s="53">
        <f t="shared" si="11"/>
        <v>9948.5711111111123</v>
      </c>
      <c r="G46" s="10">
        <f t="shared" si="12"/>
        <v>7988.9127614672298</v>
      </c>
      <c r="H46" s="114">
        <f t="shared" si="13"/>
        <v>32843.086181516235</v>
      </c>
      <c r="I46" s="116">
        <f t="shared" si="14"/>
        <v>442.14150221791044</v>
      </c>
      <c r="J46" s="10">
        <f t="shared" si="15"/>
        <v>91.971642171805868</v>
      </c>
      <c r="K46" s="114">
        <f t="shared" si="16"/>
        <v>31363.998399999993</v>
      </c>
      <c r="L46" s="10">
        <f t="shared" si="17"/>
        <v>288.34152173232053</v>
      </c>
      <c r="M46" s="118">
        <f t="shared" si="18"/>
        <v>10454.666133333334</v>
      </c>
      <c r="N46" s="118">
        <f t="shared" si="19"/>
        <v>10743.007655065654</v>
      </c>
      <c r="O46" s="116">
        <f t="shared" si="20"/>
        <v>14492.012266717415</v>
      </c>
      <c r="P46" s="118">
        <f t="shared" si="21"/>
        <v>216787.60777323548</v>
      </c>
      <c r="Q46" s="118">
        <f t="shared" si="22"/>
        <v>-188638.50084049752</v>
      </c>
      <c r="R46" s="114">
        <f t="shared" si="23"/>
        <v>221481.58702201376</v>
      </c>
    </row>
    <row r="47" spans="1:18" x14ac:dyDescent="0.2">
      <c r="A47" s="10">
        <v>2034</v>
      </c>
      <c r="B47" s="10">
        <f t="shared" si="7"/>
        <v>498.00006291541041</v>
      </c>
      <c r="C47" s="10">
        <f t="shared" si="8"/>
        <v>263.63973383444971</v>
      </c>
      <c r="D47" s="10">
        <f t="shared" si="9"/>
        <v>29845.71333333333</v>
      </c>
      <c r="E47">
        <f t="shared" si="10"/>
        <v>276.07470178916577</v>
      </c>
      <c r="F47" s="53">
        <f t="shared" si="11"/>
        <v>9948.5711111111123</v>
      </c>
      <c r="G47" s="10">
        <f t="shared" si="12"/>
        <v>7988.9127614672298</v>
      </c>
      <c r="H47" s="114">
        <f t="shared" si="13"/>
        <v>32843.086181516235</v>
      </c>
      <c r="I47" s="116">
        <f t="shared" si="14"/>
        <v>442.14150221791044</v>
      </c>
      <c r="J47" s="10">
        <f t="shared" si="15"/>
        <v>91.971642171805868</v>
      </c>
      <c r="K47" s="114">
        <f t="shared" si="16"/>
        <v>31363.998399999993</v>
      </c>
      <c r="L47" s="10">
        <f t="shared" si="17"/>
        <v>288.34152173232053</v>
      </c>
      <c r="M47" s="118">
        <f t="shared" si="18"/>
        <v>10454.666133333334</v>
      </c>
      <c r="N47" s="118">
        <f t="shared" si="19"/>
        <v>10743.007655065654</v>
      </c>
      <c r="O47" s="116">
        <f t="shared" si="20"/>
        <v>14492.012266717415</v>
      </c>
      <c r="P47" s="118">
        <f t="shared" si="21"/>
        <v>216787.60777323548</v>
      </c>
      <c r="Q47" s="118">
        <f t="shared" si="22"/>
        <v>-188638.50084049752</v>
      </c>
      <c r="R47" s="114">
        <f t="shared" si="23"/>
        <v>221481.58702201376</v>
      </c>
    </row>
    <row r="48" spans="1:18" x14ac:dyDescent="0.2">
      <c r="A48" s="10">
        <v>2035</v>
      </c>
      <c r="B48" s="10">
        <f t="shared" si="7"/>
        <v>498.00006291541041</v>
      </c>
      <c r="C48" s="10">
        <f t="shared" si="8"/>
        <v>263.63973383444971</v>
      </c>
      <c r="D48" s="10">
        <f t="shared" si="9"/>
        <v>29845.71333333333</v>
      </c>
      <c r="E48">
        <f t="shared" si="10"/>
        <v>276.07470178916577</v>
      </c>
      <c r="F48" s="53">
        <f t="shared" si="11"/>
        <v>9948.5711111111123</v>
      </c>
      <c r="G48" s="10">
        <f t="shared" si="12"/>
        <v>7988.9127614672298</v>
      </c>
      <c r="H48" s="114">
        <f t="shared" si="13"/>
        <v>32843.086181516235</v>
      </c>
      <c r="I48" s="116">
        <f t="shared" si="14"/>
        <v>442.14150221791044</v>
      </c>
      <c r="J48" s="10">
        <f t="shared" si="15"/>
        <v>91.971642171805868</v>
      </c>
      <c r="K48" s="114">
        <f t="shared" si="16"/>
        <v>31363.998399999993</v>
      </c>
      <c r="L48" s="10">
        <f t="shared" si="17"/>
        <v>288.34152173232053</v>
      </c>
      <c r="M48" s="118">
        <f t="shared" si="18"/>
        <v>10454.666133333334</v>
      </c>
      <c r="N48" s="118">
        <f t="shared" si="19"/>
        <v>10743.007655065654</v>
      </c>
      <c r="O48" s="116">
        <f t="shared" si="20"/>
        <v>14492.012266717415</v>
      </c>
      <c r="P48" s="118">
        <f t="shared" si="21"/>
        <v>216787.60777323548</v>
      </c>
      <c r="Q48" s="118">
        <f t="shared" si="22"/>
        <v>-188638.50084049752</v>
      </c>
      <c r="R48" s="114">
        <f t="shared" si="23"/>
        <v>221481.58702201376</v>
      </c>
    </row>
    <row r="49" spans="1:18" x14ac:dyDescent="0.2">
      <c r="A49" s="10">
        <v>2036</v>
      </c>
      <c r="B49" s="10">
        <f t="shared" si="7"/>
        <v>498.00006291541041</v>
      </c>
      <c r="C49" s="10">
        <f t="shared" si="8"/>
        <v>263.63973383444971</v>
      </c>
      <c r="D49" s="10">
        <f t="shared" si="9"/>
        <v>29845.71333333333</v>
      </c>
      <c r="E49">
        <f t="shared" si="10"/>
        <v>276.07470178916577</v>
      </c>
      <c r="F49" s="53">
        <f t="shared" si="11"/>
        <v>9948.5711111111123</v>
      </c>
      <c r="G49" s="10">
        <f t="shared" si="12"/>
        <v>7988.9127614672298</v>
      </c>
      <c r="H49" s="114">
        <f t="shared" si="13"/>
        <v>32843.086181516235</v>
      </c>
      <c r="I49" s="116">
        <f t="shared" si="14"/>
        <v>442.14150221791044</v>
      </c>
      <c r="J49" s="10">
        <f t="shared" si="15"/>
        <v>91.971642171805868</v>
      </c>
      <c r="K49" s="114">
        <f t="shared" si="16"/>
        <v>31363.998399999993</v>
      </c>
      <c r="L49" s="10">
        <f t="shared" si="17"/>
        <v>288.34152173232053</v>
      </c>
      <c r="M49" s="118">
        <f t="shared" si="18"/>
        <v>10454.666133333334</v>
      </c>
      <c r="N49" s="118">
        <f t="shared" si="19"/>
        <v>10743.007655065654</v>
      </c>
      <c r="O49" s="116">
        <f t="shared" si="20"/>
        <v>14492.012266717415</v>
      </c>
      <c r="P49" s="118">
        <f t="shared" si="21"/>
        <v>216787.60777323548</v>
      </c>
      <c r="Q49" s="118">
        <f t="shared" si="22"/>
        <v>-188638.50084049752</v>
      </c>
      <c r="R49" s="114">
        <f t="shared" si="23"/>
        <v>221481.58702201376</v>
      </c>
    </row>
    <row r="50" spans="1:18" x14ac:dyDescent="0.2">
      <c r="A50" s="10">
        <v>2037</v>
      </c>
      <c r="B50" s="10">
        <f t="shared" si="7"/>
        <v>498.00006291541041</v>
      </c>
      <c r="C50" s="10">
        <f t="shared" si="8"/>
        <v>263.63973383444971</v>
      </c>
      <c r="D50" s="10">
        <f t="shared" si="9"/>
        <v>29845.71333333333</v>
      </c>
      <c r="E50">
        <f t="shared" si="10"/>
        <v>276.07470178916577</v>
      </c>
      <c r="F50" s="53">
        <f t="shared" si="11"/>
        <v>9948.5711111111123</v>
      </c>
      <c r="G50" s="10">
        <f t="shared" si="12"/>
        <v>7988.9127614672298</v>
      </c>
      <c r="H50" s="114">
        <f t="shared" si="13"/>
        <v>32843.086181516235</v>
      </c>
      <c r="I50" s="116">
        <f t="shared" si="14"/>
        <v>442.14150221791044</v>
      </c>
      <c r="J50" s="10">
        <f t="shared" si="15"/>
        <v>91.971642171805868</v>
      </c>
      <c r="K50" s="114">
        <f t="shared" si="16"/>
        <v>31363.998399999993</v>
      </c>
      <c r="L50" s="10">
        <f t="shared" si="17"/>
        <v>288.34152173232053</v>
      </c>
      <c r="M50" s="118">
        <f t="shared" si="18"/>
        <v>10454.666133333334</v>
      </c>
      <c r="N50" s="118">
        <f t="shared" si="19"/>
        <v>10743.007655065654</v>
      </c>
      <c r="O50" s="116">
        <f t="shared" si="20"/>
        <v>14492.012266717415</v>
      </c>
      <c r="P50" s="118">
        <f t="shared" si="21"/>
        <v>216787.60777323548</v>
      </c>
      <c r="Q50" s="118">
        <f t="shared" si="22"/>
        <v>-188638.50084049752</v>
      </c>
      <c r="R50" s="114">
        <f t="shared" si="23"/>
        <v>221481.58702201376</v>
      </c>
    </row>
    <row r="51" spans="1:18" x14ac:dyDescent="0.2">
      <c r="A51" s="10">
        <v>2038</v>
      </c>
      <c r="B51" s="10">
        <f>($B$13)*C57/365</f>
        <v>246.95345585668298</v>
      </c>
      <c r="C51" s="10">
        <f>($C$13)*C57/365</f>
        <v>130.73641595626137</v>
      </c>
      <c r="D51" s="10">
        <f>($D$13)*C57/365</f>
        <v>14800.203050228309</v>
      </c>
      <c r="E51">
        <f>($E$13)*C57/365</f>
        <v>136.90279732558631</v>
      </c>
      <c r="F51" s="53">
        <f>($F$13)*C57/365</f>
        <v>4933.4010167427705</v>
      </c>
      <c r="G51" s="10">
        <f>($G$13)*C57/365</f>
        <v>3961.6252323988183</v>
      </c>
      <c r="H51" s="114">
        <f>($H$13)*C57/365</f>
        <v>16286.571503710789</v>
      </c>
      <c r="I51" s="116">
        <f>($B$24)*C57/365</f>
        <v>219.25373123682684</v>
      </c>
      <c r="J51" s="10">
        <f>($C$24)*C57/365</f>
        <v>45.607855433142085</v>
      </c>
      <c r="K51" s="114">
        <f>($D$24)*C57/365</f>
        <v>15553.106055890406</v>
      </c>
      <c r="L51" s="10">
        <f>($E$24)*C57/365</f>
        <v>142.98579570835619</v>
      </c>
      <c r="M51" s="118">
        <f>($F$24)*C57/365</f>
        <v>5184.368685296804</v>
      </c>
      <c r="N51" s="118">
        <f t="shared" si="19"/>
        <v>5327.3544810051599</v>
      </c>
      <c r="O51" s="116">
        <f>($G$24)*C57/365</f>
        <v>7186.4499185639779</v>
      </c>
      <c r="P51" s="118">
        <f>($H$24)*C57/365</f>
        <v>107502.89590946746</v>
      </c>
      <c r="Q51" s="118">
        <f>($I$24)*C57/365</f>
        <v>-93544.023704465901</v>
      </c>
      <c r="R51" s="114">
        <f t="shared" si="23"/>
        <v>109830.59520817669</v>
      </c>
    </row>
    <row r="52" spans="1:18" x14ac:dyDescent="0.2">
      <c r="A52" t="s">
        <v>361</v>
      </c>
      <c r="B52" s="78"/>
      <c r="C52" s="78"/>
      <c r="D52" s="78"/>
      <c r="E52" s="78"/>
      <c r="F52" s="78"/>
      <c r="G52" s="78"/>
      <c r="H52" s="53">
        <f>SUM(H31:H51)</f>
        <v>656861.72363032482</v>
      </c>
      <c r="I52" s="53">
        <f t="shared" ref="I52:R52" si="24">SUM(I31:I51)</f>
        <v>8842.830044358212</v>
      </c>
      <c r="J52" s="53">
        <f t="shared" si="24"/>
        <v>1839.4328434361169</v>
      </c>
      <c r="K52" s="53">
        <f t="shared" si="24"/>
        <v>627279.96799999988</v>
      </c>
      <c r="L52" s="53">
        <f t="shared" si="24"/>
        <v>5766.830434646411</v>
      </c>
      <c r="M52" s="53">
        <f t="shared" si="24"/>
        <v>209093.32266666673</v>
      </c>
      <c r="N52" s="118">
        <f>SUM(N31:N51)</f>
        <v>214860.15310131307</v>
      </c>
      <c r="O52" s="53">
        <f t="shared" si="24"/>
        <v>289840.24533434835</v>
      </c>
      <c r="P52" s="53">
        <f t="shared" si="24"/>
        <v>4335752.1554647107</v>
      </c>
      <c r="Q52" s="53">
        <f t="shared" si="24"/>
        <v>-3772770.0168099515</v>
      </c>
      <c r="R52" s="53">
        <f t="shared" si="24"/>
        <v>4429631.7404402765</v>
      </c>
    </row>
    <row r="53" spans="1:18" x14ac:dyDescent="0.2">
      <c r="A53" t="s">
        <v>704</v>
      </c>
      <c r="B53" s="78">
        <f>SUM(B31:B51)/20</f>
        <v>498.00006291541041</v>
      </c>
      <c r="C53" s="78">
        <f t="shared" ref="C53:H53" si="25">SUM(C31:C51)/20</f>
        <v>263.63973383444966</v>
      </c>
      <c r="D53" s="78">
        <f t="shared" si="25"/>
        <v>29845.713333333326</v>
      </c>
      <c r="E53" s="78">
        <f t="shared" si="25"/>
        <v>276.07470178916572</v>
      </c>
      <c r="F53" s="78">
        <f t="shared" si="25"/>
        <v>9948.5711111111141</v>
      </c>
      <c r="G53" s="78">
        <f t="shared" si="25"/>
        <v>7988.9127614672298</v>
      </c>
      <c r="H53" s="78">
        <f t="shared" si="25"/>
        <v>32843.086181516243</v>
      </c>
    </row>
    <row r="54" spans="1:18" ht="17" x14ac:dyDescent="0.25">
      <c r="E54" t="s">
        <v>705</v>
      </c>
      <c r="F54">
        <f>E53+F53</f>
        <v>10224.64581290028</v>
      </c>
    </row>
    <row r="55" spans="1:18" x14ac:dyDescent="0.2">
      <c r="A55" s="38" t="s">
        <v>629</v>
      </c>
      <c r="B55" s="38" t="s">
        <v>630</v>
      </c>
      <c r="C55" s="7" t="s">
        <v>675</v>
      </c>
      <c r="R55">
        <f>R52/91950.6</f>
        <v>48.174038455869521</v>
      </c>
    </row>
    <row r="56" spans="1:18" x14ac:dyDescent="0.2">
      <c r="A56" s="263">
        <v>43282</v>
      </c>
      <c r="B56" s="263">
        <v>43465</v>
      </c>
      <c r="C56" s="9">
        <f>(B56-A56)+1</f>
        <v>184</v>
      </c>
      <c r="R56">
        <f>R55/20</f>
        <v>2.4087019227934761</v>
      </c>
    </row>
    <row r="57" spans="1:18" x14ac:dyDescent="0.2">
      <c r="A57" s="263">
        <v>50406</v>
      </c>
      <c r="B57" s="263">
        <v>50586</v>
      </c>
      <c r="C57" s="9">
        <f>(B57-A57)+1</f>
        <v>181</v>
      </c>
    </row>
  </sheetData>
  <mergeCells count="1">
    <mergeCell ref="A1:F1"/>
  </mergeCells>
  <phoneticPr fontId="17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E89EB-3AEC-C545-B9B0-1B047CA032F1}">
  <dimension ref="A1:I30"/>
  <sheetViews>
    <sheetView workbookViewId="0">
      <selection activeCell="F10" sqref="F10"/>
    </sheetView>
  </sheetViews>
  <sheetFormatPr baseColWidth="10" defaultRowHeight="15" x14ac:dyDescent="0.2"/>
  <cols>
    <col min="1" max="1" width="33" customWidth="1"/>
    <col min="2" max="2" width="15.33203125" customWidth="1"/>
    <col min="3" max="3" width="13.33203125" customWidth="1"/>
    <col min="4" max="4" width="12.33203125" customWidth="1"/>
  </cols>
  <sheetData>
    <row r="1" spans="1:9" x14ac:dyDescent="0.2">
      <c r="A1" s="577" t="s">
        <v>415</v>
      </c>
      <c r="B1" s="577"/>
      <c r="C1" s="577"/>
      <c r="D1" s="577"/>
      <c r="E1" s="577"/>
      <c r="F1" s="577"/>
    </row>
    <row r="2" spans="1:9" x14ac:dyDescent="0.2">
      <c r="A2" s="108" t="s">
        <v>416</v>
      </c>
      <c r="B2" s="108">
        <v>2710</v>
      </c>
      <c r="E2" s="11"/>
    </row>
    <row r="3" spans="1:9" x14ac:dyDescent="0.2">
      <c r="A3" s="108" t="s">
        <v>417</v>
      </c>
      <c r="B3" s="108">
        <v>6</v>
      </c>
      <c r="E3" s="11"/>
    </row>
    <row r="7" spans="1:9" ht="80" customHeight="1" x14ac:dyDescent="0.2">
      <c r="A7" s="109" t="s">
        <v>164</v>
      </c>
      <c r="B7" s="54" t="s">
        <v>148</v>
      </c>
      <c r="C7" s="54" t="s">
        <v>141</v>
      </c>
      <c r="D7" s="257" t="s">
        <v>446</v>
      </c>
      <c r="E7" s="257" t="s">
        <v>703</v>
      </c>
      <c r="F7" s="474"/>
      <c r="G7" s="212" t="s">
        <v>629</v>
      </c>
      <c r="H7" s="212" t="s">
        <v>630</v>
      </c>
      <c r="I7" s="258" t="s">
        <v>681</v>
      </c>
    </row>
    <row r="8" spans="1:9" ht="17" x14ac:dyDescent="0.25">
      <c r="A8" s="10"/>
      <c r="B8" s="10" t="s">
        <v>149</v>
      </c>
      <c r="C8" s="10" t="s">
        <v>142</v>
      </c>
      <c r="D8" s="10"/>
      <c r="E8" s="10"/>
      <c r="G8" s="265">
        <v>43282</v>
      </c>
      <c r="H8" s="265">
        <v>43465</v>
      </c>
      <c r="I8" s="98">
        <f>(H8-G8)+1</f>
        <v>184</v>
      </c>
    </row>
    <row r="9" spans="1:9" x14ac:dyDescent="0.2">
      <c r="A9" s="10"/>
      <c r="B9" s="10" t="s">
        <v>88</v>
      </c>
      <c r="C9" s="10" t="s">
        <v>60</v>
      </c>
      <c r="D9" s="10" t="s">
        <v>60</v>
      </c>
      <c r="E9" s="10" t="s">
        <v>60</v>
      </c>
      <c r="G9" s="265">
        <v>50406</v>
      </c>
      <c r="H9" s="265">
        <v>50586</v>
      </c>
      <c r="I9" s="98">
        <f>(H9-G9)+1</f>
        <v>181</v>
      </c>
    </row>
    <row r="10" spans="1:9" x14ac:dyDescent="0.2">
      <c r="A10" s="55" t="s">
        <v>671</v>
      </c>
      <c r="B10" s="10">
        <f>'Emission Removal'!O31</f>
        <v>7305.5623481534367</v>
      </c>
      <c r="C10" s="118">
        <f>'Emission Removal'!P31</f>
        <v>109284.71186376803</v>
      </c>
      <c r="D10" s="10">
        <f>(B10+C10)*18%</f>
        <v>20986.249358145862</v>
      </c>
      <c r="E10" s="118">
        <f>B10+C10</f>
        <v>116590.27421192147</v>
      </c>
    </row>
    <row r="11" spans="1:9" x14ac:dyDescent="0.2">
      <c r="A11" s="55">
        <v>2019</v>
      </c>
      <c r="B11" s="10">
        <f>'Emission Removal'!O32</f>
        <v>14492.012266717415</v>
      </c>
      <c r="C11" s="118">
        <f>'Emission Removal'!P32</f>
        <v>216787.60777323548</v>
      </c>
      <c r="D11" s="10">
        <f t="shared" ref="D11:D30" si="0">(B11+C11)*18%</f>
        <v>41630.331607191518</v>
      </c>
      <c r="E11" s="118">
        <f t="shared" ref="E11:E30" si="1">B11+C11</f>
        <v>231279.62003995289</v>
      </c>
    </row>
    <row r="12" spans="1:9" x14ac:dyDescent="0.2">
      <c r="A12" s="55">
        <v>2020</v>
      </c>
      <c r="B12" s="10">
        <f>'Emission Removal'!O33</f>
        <v>14492.012266717415</v>
      </c>
      <c r="C12" s="118">
        <f>'Emission Removal'!P33</f>
        <v>216787.60777323548</v>
      </c>
      <c r="D12" s="10">
        <f t="shared" si="0"/>
        <v>41630.331607191518</v>
      </c>
      <c r="E12" s="118">
        <f t="shared" si="1"/>
        <v>231279.62003995289</v>
      </c>
    </row>
    <row r="13" spans="1:9" x14ac:dyDescent="0.2">
      <c r="A13" s="55">
        <v>2021</v>
      </c>
      <c r="B13" s="10">
        <f>'Emission Removal'!O34</f>
        <v>14492.012266717415</v>
      </c>
      <c r="C13" s="118">
        <f>'Emission Removal'!P34</f>
        <v>216787.60777323548</v>
      </c>
      <c r="D13" s="10">
        <f t="shared" si="0"/>
        <v>41630.331607191518</v>
      </c>
      <c r="E13" s="118">
        <f t="shared" si="1"/>
        <v>231279.62003995289</v>
      </c>
    </row>
    <row r="14" spans="1:9" x14ac:dyDescent="0.2">
      <c r="A14" s="55">
        <v>2022</v>
      </c>
      <c r="B14" s="10">
        <f>'Emission Removal'!O35</f>
        <v>14492.012266717415</v>
      </c>
      <c r="C14" s="118">
        <f>'Emission Removal'!P35</f>
        <v>216787.60777323548</v>
      </c>
      <c r="D14" s="10">
        <f t="shared" si="0"/>
        <v>41630.331607191518</v>
      </c>
      <c r="E14" s="118">
        <f t="shared" si="1"/>
        <v>231279.62003995289</v>
      </c>
    </row>
    <row r="15" spans="1:9" x14ac:dyDescent="0.2">
      <c r="A15" s="55">
        <v>2023</v>
      </c>
      <c r="B15" s="10">
        <f>'Emission Removal'!O36</f>
        <v>14492.012266717415</v>
      </c>
      <c r="C15" s="118">
        <f>'Emission Removal'!P36</f>
        <v>216787.60777323548</v>
      </c>
      <c r="D15" s="10">
        <f t="shared" si="0"/>
        <v>41630.331607191518</v>
      </c>
      <c r="E15" s="118">
        <f t="shared" si="1"/>
        <v>231279.62003995289</v>
      </c>
    </row>
    <row r="16" spans="1:9" x14ac:dyDescent="0.2">
      <c r="A16" s="55">
        <v>2024</v>
      </c>
      <c r="B16" s="10">
        <f>'Emission Removal'!O37</f>
        <v>14492.012266717415</v>
      </c>
      <c r="C16" s="118">
        <f>'Emission Removal'!P37</f>
        <v>216787.60777323548</v>
      </c>
      <c r="D16" s="10">
        <f t="shared" si="0"/>
        <v>41630.331607191518</v>
      </c>
      <c r="E16" s="118">
        <f t="shared" si="1"/>
        <v>231279.62003995289</v>
      </c>
    </row>
    <row r="17" spans="1:5" x14ac:dyDescent="0.2">
      <c r="A17" s="55">
        <v>2025</v>
      </c>
      <c r="B17" s="10">
        <f>'Emission Removal'!O38</f>
        <v>14492.012266717415</v>
      </c>
      <c r="C17" s="118">
        <f>'Emission Removal'!P38</f>
        <v>216787.60777323548</v>
      </c>
      <c r="D17" s="10">
        <f t="shared" si="0"/>
        <v>41630.331607191518</v>
      </c>
      <c r="E17" s="118">
        <f t="shared" si="1"/>
        <v>231279.62003995289</v>
      </c>
    </row>
    <row r="18" spans="1:5" x14ac:dyDescent="0.2">
      <c r="A18" s="55">
        <v>2026</v>
      </c>
      <c r="B18" s="10">
        <f>'Emission Removal'!O39</f>
        <v>14492.012266717415</v>
      </c>
      <c r="C18" s="118">
        <f>'Emission Removal'!P39</f>
        <v>216787.60777323548</v>
      </c>
      <c r="D18" s="10">
        <f t="shared" si="0"/>
        <v>41630.331607191518</v>
      </c>
      <c r="E18" s="118">
        <f t="shared" si="1"/>
        <v>231279.62003995289</v>
      </c>
    </row>
    <row r="19" spans="1:5" x14ac:dyDescent="0.2">
      <c r="A19" s="55">
        <v>2027</v>
      </c>
      <c r="B19" s="10">
        <f>'Emission Removal'!O40</f>
        <v>14492.012266717415</v>
      </c>
      <c r="C19" s="118">
        <f>'Emission Removal'!P40</f>
        <v>216787.60777323548</v>
      </c>
      <c r="D19" s="10">
        <f t="shared" si="0"/>
        <v>41630.331607191518</v>
      </c>
      <c r="E19" s="118">
        <f t="shared" si="1"/>
        <v>231279.62003995289</v>
      </c>
    </row>
    <row r="20" spans="1:5" x14ac:dyDescent="0.2">
      <c r="A20" s="55">
        <v>2028</v>
      </c>
      <c r="B20" s="10">
        <f>'Emission Removal'!O41</f>
        <v>14492.012266717415</v>
      </c>
      <c r="C20" s="118">
        <f>'Emission Removal'!P41</f>
        <v>216787.60777323548</v>
      </c>
      <c r="D20" s="10">
        <f t="shared" si="0"/>
        <v>41630.331607191518</v>
      </c>
      <c r="E20" s="118">
        <f t="shared" si="1"/>
        <v>231279.62003995289</v>
      </c>
    </row>
    <row r="21" spans="1:5" x14ac:dyDescent="0.2">
      <c r="A21" s="55">
        <v>2029</v>
      </c>
      <c r="B21" s="10">
        <f>'Emission Removal'!O42</f>
        <v>14492.012266717415</v>
      </c>
      <c r="C21" s="118">
        <f>'Emission Removal'!P42</f>
        <v>216787.60777323548</v>
      </c>
      <c r="D21" s="10">
        <f t="shared" si="0"/>
        <v>41630.331607191518</v>
      </c>
      <c r="E21" s="118">
        <f t="shared" si="1"/>
        <v>231279.62003995289</v>
      </c>
    </row>
    <row r="22" spans="1:5" x14ac:dyDescent="0.2">
      <c r="A22" s="55">
        <v>2030</v>
      </c>
      <c r="B22" s="10">
        <f>'Emission Removal'!O43</f>
        <v>14492.012266717415</v>
      </c>
      <c r="C22" s="118">
        <f>'Emission Removal'!P43</f>
        <v>216787.60777323548</v>
      </c>
      <c r="D22" s="10">
        <f t="shared" si="0"/>
        <v>41630.331607191518</v>
      </c>
      <c r="E22" s="118">
        <f t="shared" si="1"/>
        <v>231279.62003995289</v>
      </c>
    </row>
    <row r="23" spans="1:5" x14ac:dyDescent="0.2">
      <c r="A23" s="55">
        <v>2031</v>
      </c>
      <c r="B23" s="10">
        <f>'Emission Removal'!O44</f>
        <v>14492.012266717415</v>
      </c>
      <c r="C23" s="118">
        <f>'Emission Removal'!P44</f>
        <v>216787.60777323548</v>
      </c>
      <c r="D23" s="10">
        <f t="shared" si="0"/>
        <v>41630.331607191518</v>
      </c>
      <c r="E23" s="118">
        <f t="shared" si="1"/>
        <v>231279.62003995289</v>
      </c>
    </row>
    <row r="24" spans="1:5" x14ac:dyDescent="0.2">
      <c r="A24" s="55">
        <v>2032</v>
      </c>
      <c r="B24" s="10">
        <f>'Emission Removal'!O45</f>
        <v>14492.012266717415</v>
      </c>
      <c r="C24" s="118">
        <f>'Emission Removal'!P45</f>
        <v>216787.60777323548</v>
      </c>
      <c r="D24" s="10">
        <f t="shared" si="0"/>
        <v>41630.331607191518</v>
      </c>
      <c r="E24" s="118">
        <f t="shared" si="1"/>
        <v>231279.62003995289</v>
      </c>
    </row>
    <row r="25" spans="1:5" x14ac:dyDescent="0.2">
      <c r="A25" s="55">
        <v>2033</v>
      </c>
      <c r="B25" s="10">
        <f>'Emission Removal'!O46</f>
        <v>14492.012266717415</v>
      </c>
      <c r="C25" s="118">
        <f>'Emission Removal'!P46</f>
        <v>216787.60777323548</v>
      </c>
      <c r="D25" s="10">
        <f t="shared" si="0"/>
        <v>41630.331607191518</v>
      </c>
      <c r="E25" s="118">
        <f t="shared" si="1"/>
        <v>231279.62003995289</v>
      </c>
    </row>
    <row r="26" spans="1:5" x14ac:dyDescent="0.2">
      <c r="A26" s="55">
        <v>2034</v>
      </c>
      <c r="B26" s="10">
        <f>'Emission Removal'!O47</f>
        <v>14492.012266717415</v>
      </c>
      <c r="C26" s="118">
        <f>'Emission Removal'!P47</f>
        <v>216787.60777323548</v>
      </c>
      <c r="D26" s="10">
        <f t="shared" si="0"/>
        <v>41630.331607191518</v>
      </c>
      <c r="E26" s="118">
        <f t="shared" si="1"/>
        <v>231279.62003995289</v>
      </c>
    </row>
    <row r="27" spans="1:5" x14ac:dyDescent="0.2">
      <c r="A27" s="55">
        <v>2035</v>
      </c>
      <c r="B27" s="10">
        <f>'Emission Removal'!O48</f>
        <v>14492.012266717415</v>
      </c>
      <c r="C27" s="118">
        <f>'Emission Removal'!P48</f>
        <v>216787.60777323548</v>
      </c>
      <c r="D27" s="10">
        <f t="shared" si="0"/>
        <v>41630.331607191518</v>
      </c>
      <c r="E27" s="118">
        <f t="shared" si="1"/>
        <v>231279.62003995289</v>
      </c>
    </row>
    <row r="28" spans="1:5" x14ac:dyDescent="0.2">
      <c r="A28" s="55">
        <v>2036</v>
      </c>
      <c r="B28" s="10">
        <f>'Emission Removal'!O49</f>
        <v>14492.012266717415</v>
      </c>
      <c r="C28" s="118">
        <f>'Emission Removal'!P49</f>
        <v>216787.60777323548</v>
      </c>
      <c r="D28" s="10">
        <f t="shared" si="0"/>
        <v>41630.331607191518</v>
      </c>
      <c r="E28" s="118">
        <f t="shared" si="1"/>
        <v>231279.62003995289</v>
      </c>
    </row>
    <row r="29" spans="1:5" x14ac:dyDescent="0.2">
      <c r="A29" s="55">
        <v>2037</v>
      </c>
      <c r="B29" s="10">
        <f>'Emission Removal'!O50</f>
        <v>14492.012266717415</v>
      </c>
      <c r="C29" s="118">
        <f>'Emission Removal'!P50</f>
        <v>216787.60777323548</v>
      </c>
      <c r="D29" s="10">
        <f t="shared" si="0"/>
        <v>41630.331607191518</v>
      </c>
      <c r="E29" s="118">
        <f t="shared" si="1"/>
        <v>231279.62003995289</v>
      </c>
    </row>
    <row r="30" spans="1:5" x14ac:dyDescent="0.2">
      <c r="A30" s="55" t="s">
        <v>672</v>
      </c>
      <c r="B30" s="10">
        <f>'Emission Removal'!O51</f>
        <v>7186.4499185639779</v>
      </c>
      <c r="C30" s="118">
        <f>'Emission Removal'!P31</f>
        <v>109284.71186376803</v>
      </c>
      <c r="D30" s="10">
        <f t="shared" si="0"/>
        <v>20964.809120819758</v>
      </c>
      <c r="E30" s="118">
        <f t="shared" si="1"/>
        <v>116471.161782332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E6F77-EFD7-A742-915E-65480D55F71E}">
  <dimension ref="A1:X69"/>
  <sheetViews>
    <sheetView workbookViewId="0">
      <selection activeCell="Q6" sqref="Q6"/>
    </sheetView>
  </sheetViews>
  <sheetFormatPr baseColWidth="10" defaultColWidth="8.83203125" defaultRowHeight="15" x14ac:dyDescent="0.2"/>
  <cols>
    <col min="1" max="1" width="8.83203125" style="8"/>
    <col min="2" max="2" width="11.1640625" style="2" customWidth="1"/>
    <col min="3" max="3" width="17.1640625" style="2" customWidth="1"/>
    <col min="4" max="4" width="18.83203125" customWidth="1"/>
    <col min="5" max="6" width="8.5" customWidth="1"/>
    <col min="7" max="7" width="8.1640625" customWidth="1"/>
    <col min="8" max="9" width="8.33203125" customWidth="1"/>
    <col min="10" max="10" width="8.1640625" customWidth="1"/>
    <col min="11" max="11" width="7.33203125" style="11" customWidth="1"/>
    <col min="12" max="12" width="8.33203125" customWidth="1"/>
    <col min="14" max="14" width="9" customWidth="1"/>
    <col min="17" max="17" width="10.1640625" customWidth="1"/>
    <col min="18" max="18" width="10.83203125" customWidth="1"/>
  </cols>
  <sheetData>
    <row r="1" spans="1:24" ht="26" x14ac:dyDescent="0.2">
      <c r="A1" s="519" t="s">
        <v>93</v>
      </c>
      <c r="B1" s="519" t="s">
        <v>94</v>
      </c>
      <c r="C1" s="519" t="s">
        <v>31</v>
      </c>
      <c r="D1" s="504" t="s">
        <v>449</v>
      </c>
      <c r="E1" s="12" t="s">
        <v>450</v>
      </c>
      <c r="F1" s="12" t="s">
        <v>451</v>
      </c>
      <c r="G1" s="12" t="s">
        <v>452</v>
      </c>
      <c r="H1" s="12" t="s">
        <v>453</v>
      </c>
      <c r="I1" s="12" t="s">
        <v>454</v>
      </c>
      <c r="J1" s="12" t="s">
        <v>455</v>
      </c>
      <c r="K1" s="12" t="s">
        <v>456</v>
      </c>
      <c r="L1" s="12" t="s">
        <v>457</v>
      </c>
      <c r="M1" s="12" t="s">
        <v>458</v>
      </c>
      <c r="N1" s="121" t="s">
        <v>459</v>
      </c>
      <c r="Q1" s="122"/>
      <c r="R1" s="122"/>
      <c r="S1" s="122"/>
      <c r="T1" s="122"/>
      <c r="U1" s="122"/>
      <c r="V1" s="122"/>
      <c r="W1" s="122"/>
      <c r="X1" s="122"/>
    </row>
    <row r="2" spans="1:24" ht="14.5" customHeight="1" x14ac:dyDescent="0.2">
      <c r="A2" s="520"/>
      <c r="B2" s="520"/>
      <c r="C2" s="520"/>
      <c r="D2" s="505"/>
      <c r="E2" s="506" t="s">
        <v>460</v>
      </c>
      <c r="F2" s="507"/>
      <c r="G2" s="507"/>
      <c r="H2" s="507"/>
      <c r="I2" s="507"/>
      <c r="J2" s="507"/>
      <c r="K2" s="507"/>
      <c r="L2" s="507"/>
      <c r="M2" s="507"/>
      <c r="N2" s="508"/>
    </row>
    <row r="3" spans="1:24" ht="16" x14ac:dyDescent="0.2">
      <c r="A3" s="515">
        <v>1</v>
      </c>
      <c r="B3" s="517">
        <f>Assumptions!D61</f>
        <v>183.761</v>
      </c>
      <c r="C3" s="515" t="s">
        <v>709</v>
      </c>
      <c r="D3" s="61" t="s">
        <v>461</v>
      </c>
      <c r="E3" s="16"/>
      <c r="F3" s="16"/>
      <c r="G3" s="16"/>
      <c r="H3" s="16"/>
      <c r="I3" s="16"/>
      <c r="J3" s="16"/>
      <c r="K3" s="17"/>
      <c r="L3" s="17"/>
      <c r="M3" s="17"/>
      <c r="N3" s="123"/>
      <c r="P3" s="1"/>
    </row>
    <row r="4" spans="1:24" ht="16" x14ac:dyDescent="0.2">
      <c r="A4" s="516"/>
      <c r="B4" s="518"/>
      <c r="C4" s="516"/>
      <c r="D4" s="61" t="s">
        <v>462</v>
      </c>
      <c r="E4" s="16"/>
      <c r="F4" s="16"/>
      <c r="G4" s="16"/>
      <c r="H4" s="16"/>
      <c r="I4" s="16"/>
      <c r="J4" s="16"/>
      <c r="K4" s="17"/>
      <c r="L4" s="17"/>
      <c r="M4" s="17"/>
      <c r="N4" s="123"/>
      <c r="P4" s="1"/>
    </row>
    <row r="5" spans="1:24" x14ac:dyDescent="0.2">
      <c r="A5" s="516"/>
      <c r="B5" s="518"/>
      <c r="C5" s="516"/>
      <c r="D5" s="63" t="s">
        <v>321</v>
      </c>
      <c r="E5" s="16"/>
      <c r="F5" s="16"/>
      <c r="G5" s="16"/>
      <c r="H5" s="16"/>
      <c r="I5" s="16"/>
      <c r="J5" s="16"/>
      <c r="K5" s="17"/>
      <c r="L5" s="17"/>
      <c r="M5" s="17"/>
      <c r="N5" s="123"/>
      <c r="P5" s="124"/>
    </row>
    <row r="6" spans="1:24" ht="16" x14ac:dyDescent="0.2">
      <c r="A6" s="509">
        <v>2</v>
      </c>
      <c r="B6" s="512">
        <f>Assumptions!D62</f>
        <v>6772.8780000000015</v>
      </c>
      <c r="C6" s="509"/>
      <c r="D6" s="64" t="s">
        <v>461</v>
      </c>
      <c r="E6" s="22"/>
      <c r="F6" s="22"/>
      <c r="G6" s="22"/>
      <c r="H6" s="22"/>
      <c r="I6" s="22"/>
      <c r="J6" s="23"/>
      <c r="K6" s="23"/>
      <c r="L6" s="23"/>
      <c r="M6" s="23"/>
      <c r="N6" s="125"/>
    </row>
    <row r="7" spans="1:24" ht="16" x14ac:dyDescent="0.2">
      <c r="A7" s="510"/>
      <c r="B7" s="513"/>
      <c r="C7" s="510"/>
      <c r="D7" s="64" t="s">
        <v>462</v>
      </c>
      <c r="E7" s="22"/>
      <c r="F7" s="22"/>
      <c r="G7" s="22"/>
      <c r="H7" s="22"/>
      <c r="I7" s="22"/>
      <c r="J7" s="23"/>
      <c r="K7" s="23"/>
      <c r="L7" s="23"/>
      <c r="M7" s="23"/>
      <c r="N7" s="125"/>
    </row>
    <row r="8" spans="1:24" ht="16" x14ac:dyDescent="0.2">
      <c r="A8" s="511"/>
      <c r="B8" s="514"/>
      <c r="C8" s="511"/>
      <c r="D8" s="64" t="s">
        <v>321</v>
      </c>
      <c r="E8" s="22"/>
      <c r="F8" s="22"/>
      <c r="G8" s="22"/>
      <c r="H8" s="22"/>
      <c r="I8" s="22"/>
      <c r="J8" s="23"/>
      <c r="K8" s="23"/>
      <c r="L8" s="23"/>
      <c r="M8" s="23"/>
      <c r="N8" s="125"/>
      <c r="R8" s="521"/>
      <c r="S8" s="521"/>
      <c r="T8" s="521"/>
      <c r="U8" s="521"/>
    </row>
    <row r="9" spans="1:24" ht="16" x14ac:dyDescent="0.2">
      <c r="A9" s="515">
        <v>3</v>
      </c>
      <c r="B9" s="517">
        <f>Assumptions!D63</f>
        <v>4319.8270000000002</v>
      </c>
      <c r="C9" s="515"/>
      <c r="D9" s="61" t="s">
        <v>461</v>
      </c>
      <c r="E9" s="16"/>
      <c r="F9" s="16"/>
      <c r="G9" s="16"/>
      <c r="H9" s="16"/>
      <c r="I9" s="16"/>
      <c r="J9" s="16"/>
      <c r="K9" s="17"/>
      <c r="L9" s="17"/>
      <c r="M9" s="17"/>
      <c r="N9" s="123"/>
      <c r="P9" s="11"/>
      <c r="Q9" s="11"/>
      <c r="R9" s="521"/>
      <c r="S9" s="126"/>
      <c r="T9" s="126"/>
      <c r="U9" s="126"/>
    </row>
    <row r="10" spans="1:24" ht="16" x14ac:dyDescent="0.2">
      <c r="A10" s="516"/>
      <c r="B10" s="518"/>
      <c r="C10" s="516"/>
      <c r="D10" s="61" t="s">
        <v>462</v>
      </c>
      <c r="E10" s="16"/>
      <c r="F10" s="16"/>
      <c r="G10" s="16"/>
      <c r="H10" s="16"/>
      <c r="I10" s="16"/>
      <c r="J10" s="16"/>
      <c r="K10" s="17"/>
      <c r="L10" s="17"/>
      <c r="M10" s="17"/>
      <c r="N10" s="123"/>
      <c r="Q10" s="122"/>
      <c r="R10" s="127"/>
      <c r="S10" s="127"/>
      <c r="T10" s="127"/>
      <c r="U10" s="127"/>
    </row>
    <row r="11" spans="1:24" x14ac:dyDescent="0.2">
      <c r="A11" s="516"/>
      <c r="B11" s="518"/>
      <c r="C11" s="516"/>
      <c r="D11" s="63" t="s">
        <v>321</v>
      </c>
      <c r="E11" s="16"/>
      <c r="F11" s="16"/>
      <c r="G11" s="16"/>
      <c r="H11" s="16"/>
      <c r="I11" s="16"/>
      <c r="J11" s="16"/>
      <c r="K11" s="17"/>
      <c r="L11" s="17"/>
      <c r="M11" s="17"/>
      <c r="N11" s="123"/>
      <c r="Q11" s="122"/>
      <c r="R11" s="127"/>
      <c r="S11" s="127"/>
      <c r="T11" s="127"/>
      <c r="U11" s="127"/>
    </row>
    <row r="12" spans="1:24" ht="16" x14ac:dyDescent="0.2">
      <c r="A12" s="509">
        <v>4</v>
      </c>
      <c r="B12" s="522">
        <f>Assumptions!D64</f>
        <v>1612.0500000000002</v>
      </c>
      <c r="C12" s="524"/>
      <c r="D12" s="64" t="s">
        <v>461</v>
      </c>
      <c r="E12" s="22"/>
      <c r="F12" s="22"/>
      <c r="G12" s="22"/>
      <c r="H12" s="22"/>
      <c r="I12" s="22"/>
      <c r="J12" s="23"/>
      <c r="K12" s="23"/>
      <c r="L12" s="23"/>
      <c r="M12" s="23"/>
      <c r="N12" s="125"/>
      <c r="Q12" s="122"/>
      <c r="R12" s="127"/>
      <c r="S12" s="127"/>
      <c r="T12" s="127"/>
      <c r="U12" s="127"/>
    </row>
    <row r="13" spans="1:24" ht="16" x14ac:dyDescent="0.2">
      <c r="A13" s="510"/>
      <c r="B13" s="523"/>
      <c r="C13" s="525"/>
      <c r="D13" s="64" t="s">
        <v>462</v>
      </c>
      <c r="E13" s="22"/>
      <c r="F13" s="22"/>
      <c r="G13" s="22"/>
      <c r="H13" s="22"/>
      <c r="I13" s="22"/>
      <c r="J13" s="23"/>
      <c r="K13" s="23"/>
      <c r="L13" s="23"/>
      <c r="M13" s="23"/>
      <c r="N13" s="125"/>
      <c r="Q13" s="122"/>
      <c r="R13" s="127"/>
      <c r="S13" s="127"/>
      <c r="T13" s="127"/>
      <c r="U13" s="127"/>
    </row>
    <row r="14" spans="1:24" ht="16" x14ac:dyDescent="0.2">
      <c r="A14" s="511"/>
      <c r="B14" s="523"/>
      <c r="C14" s="525"/>
      <c r="D14" s="64" t="s">
        <v>321</v>
      </c>
      <c r="E14" s="22"/>
      <c r="F14" s="22"/>
      <c r="G14" s="22"/>
      <c r="H14" s="22"/>
      <c r="I14" s="22"/>
      <c r="J14" s="23"/>
      <c r="K14" s="23"/>
      <c r="L14" s="23"/>
      <c r="M14" s="23"/>
      <c r="N14" s="125"/>
      <c r="Q14" s="122"/>
      <c r="R14" s="127"/>
      <c r="S14" s="127"/>
      <c r="T14" s="127"/>
      <c r="U14" s="127"/>
    </row>
    <row r="15" spans="1:24" ht="16" x14ac:dyDescent="0.2">
      <c r="A15" s="515">
        <v>5</v>
      </c>
      <c r="B15" s="517">
        <f>Assumptions!D65</f>
        <v>353.58800000000002</v>
      </c>
      <c r="C15" s="515"/>
      <c r="D15" s="61" t="s">
        <v>461</v>
      </c>
      <c r="E15" s="16"/>
      <c r="F15" s="16"/>
      <c r="G15" s="16"/>
      <c r="H15" s="16"/>
      <c r="I15" s="16"/>
      <c r="J15" s="17"/>
      <c r="K15" s="17"/>
      <c r="L15" s="17"/>
      <c r="M15" s="17"/>
      <c r="N15" s="123"/>
      <c r="Q15" s="122"/>
      <c r="R15" s="127"/>
      <c r="S15" s="127"/>
      <c r="T15" s="127"/>
      <c r="U15" s="127"/>
    </row>
    <row r="16" spans="1:24" ht="16" x14ac:dyDescent="0.2">
      <c r="A16" s="516"/>
      <c r="B16" s="518"/>
      <c r="C16" s="516"/>
      <c r="D16" s="61" t="s">
        <v>462</v>
      </c>
      <c r="E16" s="17"/>
      <c r="F16" s="17"/>
      <c r="G16" s="17"/>
      <c r="H16" s="17"/>
      <c r="I16" s="17"/>
      <c r="J16" s="17"/>
      <c r="K16" s="17"/>
      <c r="L16" s="17"/>
      <c r="M16" s="17"/>
      <c r="N16" s="123"/>
      <c r="Q16" s="122"/>
      <c r="R16" s="127"/>
      <c r="S16" s="127"/>
      <c r="T16" s="127"/>
      <c r="U16" s="127"/>
    </row>
    <row r="17" spans="1:21" x14ac:dyDescent="0.2">
      <c r="A17" s="516"/>
      <c r="B17" s="518"/>
      <c r="C17" s="516"/>
      <c r="D17" s="63" t="s">
        <v>321</v>
      </c>
      <c r="E17" s="17"/>
      <c r="F17" s="17"/>
      <c r="G17" s="17"/>
      <c r="H17" s="17"/>
      <c r="I17" s="17"/>
      <c r="J17" s="17"/>
      <c r="K17" s="17"/>
      <c r="L17" s="17"/>
      <c r="M17" s="17"/>
      <c r="N17" s="123"/>
      <c r="Q17" s="122"/>
      <c r="R17" s="127"/>
      <c r="S17" s="127"/>
      <c r="T17" s="127"/>
      <c r="U17" s="127"/>
    </row>
    <row r="18" spans="1:21" ht="16" x14ac:dyDescent="0.2">
      <c r="A18" s="509">
        <v>6</v>
      </c>
      <c r="B18" s="522">
        <f>Assumptions!D66</f>
        <v>4915.7929999999997</v>
      </c>
      <c r="C18" s="524"/>
      <c r="D18" s="64" t="s">
        <v>461</v>
      </c>
      <c r="E18" s="22"/>
      <c r="F18" s="22"/>
      <c r="G18" s="22"/>
      <c r="H18" s="22"/>
      <c r="I18" s="22"/>
      <c r="J18" s="23"/>
      <c r="K18" s="23"/>
      <c r="L18" s="23"/>
      <c r="M18" s="23"/>
      <c r="N18" s="125"/>
    </row>
    <row r="19" spans="1:21" ht="16" x14ac:dyDescent="0.2">
      <c r="A19" s="510"/>
      <c r="B19" s="523"/>
      <c r="C19" s="525"/>
      <c r="D19" s="64" t="s">
        <v>462</v>
      </c>
      <c r="E19" s="23"/>
      <c r="F19" s="23"/>
      <c r="G19" s="23"/>
      <c r="H19" s="23"/>
      <c r="I19" s="23"/>
      <c r="J19" s="23"/>
      <c r="K19" s="23"/>
      <c r="L19" s="23"/>
      <c r="M19" s="23"/>
      <c r="N19" s="125"/>
    </row>
    <row r="20" spans="1:21" ht="16" x14ac:dyDescent="0.2">
      <c r="A20" s="511"/>
      <c r="B20" s="523"/>
      <c r="C20" s="525"/>
      <c r="D20" s="64" t="s">
        <v>321</v>
      </c>
      <c r="E20" s="22"/>
      <c r="F20" s="22"/>
      <c r="G20" s="22"/>
      <c r="H20" s="22"/>
      <c r="I20" s="22"/>
      <c r="J20" s="23"/>
      <c r="K20" s="23"/>
      <c r="L20" s="23"/>
      <c r="M20" s="23"/>
      <c r="N20" s="125"/>
    </row>
    <row r="21" spans="1:21" ht="16" x14ac:dyDescent="0.2">
      <c r="A21" s="515">
        <v>7</v>
      </c>
      <c r="B21" s="517">
        <f>Assumptions!D67</f>
        <v>2549.9479999999994</v>
      </c>
      <c r="C21" s="515"/>
      <c r="D21" s="61" t="s">
        <v>461</v>
      </c>
      <c r="E21" s="16">
        <v>11.6</v>
      </c>
      <c r="F21" s="16">
        <v>11.6</v>
      </c>
      <c r="G21" s="16">
        <v>11.6</v>
      </c>
      <c r="H21" s="16">
        <v>11.6</v>
      </c>
      <c r="I21" s="16">
        <v>11.6</v>
      </c>
      <c r="J21" s="17">
        <v>11.6</v>
      </c>
      <c r="K21" s="17">
        <v>11.6</v>
      </c>
      <c r="L21" s="17">
        <v>11.6</v>
      </c>
      <c r="M21" s="17">
        <v>11.6</v>
      </c>
      <c r="N21" s="123">
        <v>11.6</v>
      </c>
    </row>
    <row r="22" spans="1:21" ht="16" x14ac:dyDescent="0.2">
      <c r="A22" s="516"/>
      <c r="B22" s="518"/>
      <c r="C22" s="516"/>
      <c r="D22" s="61" t="s">
        <v>462</v>
      </c>
      <c r="E22" s="16">
        <v>6.96</v>
      </c>
      <c r="F22" s="16">
        <v>6.96</v>
      </c>
      <c r="G22" s="16">
        <v>6.96</v>
      </c>
      <c r="H22" s="16">
        <v>6.96</v>
      </c>
      <c r="I22" s="16">
        <v>6.96</v>
      </c>
      <c r="J22" s="17">
        <v>6.96</v>
      </c>
      <c r="K22" s="17">
        <v>6.96</v>
      </c>
      <c r="L22" s="17">
        <v>6.96</v>
      </c>
      <c r="M22" s="17">
        <v>6.96</v>
      </c>
      <c r="N22" s="123">
        <v>6.96</v>
      </c>
    </row>
    <row r="23" spans="1:21" x14ac:dyDescent="0.2">
      <c r="A23" s="516"/>
      <c r="B23" s="518"/>
      <c r="C23" s="516"/>
      <c r="D23" s="63" t="s">
        <v>321</v>
      </c>
      <c r="E23" s="16"/>
      <c r="F23" s="16"/>
      <c r="G23" s="16"/>
      <c r="H23" s="16"/>
      <c r="I23" s="16"/>
      <c r="J23" s="17"/>
      <c r="K23" s="17"/>
      <c r="L23" s="17"/>
      <c r="M23" s="17"/>
      <c r="N23" s="123"/>
    </row>
    <row r="24" spans="1:21" ht="16" x14ac:dyDescent="0.2">
      <c r="A24" s="509">
        <v>8</v>
      </c>
      <c r="B24" s="522">
        <f>Assumptions!D68</f>
        <v>741.26900000000001</v>
      </c>
      <c r="C24" s="524"/>
      <c r="D24" s="64" t="s">
        <v>461</v>
      </c>
      <c r="E24" s="22">
        <v>47</v>
      </c>
      <c r="F24" s="22">
        <v>47</v>
      </c>
      <c r="G24" s="22">
        <v>47</v>
      </c>
      <c r="H24" s="22">
        <v>47</v>
      </c>
      <c r="I24" s="22">
        <v>47</v>
      </c>
      <c r="J24" s="23">
        <v>47</v>
      </c>
      <c r="K24" s="23">
        <v>30</v>
      </c>
      <c r="L24" s="23">
        <v>30</v>
      </c>
      <c r="M24" s="23">
        <v>20</v>
      </c>
      <c r="N24" s="125">
        <v>20</v>
      </c>
    </row>
    <row r="25" spans="1:21" ht="16" x14ac:dyDescent="0.2">
      <c r="A25" s="510"/>
      <c r="B25" s="523"/>
      <c r="C25" s="525"/>
      <c r="D25" s="64" t="s">
        <v>462</v>
      </c>
      <c r="E25" s="23"/>
      <c r="F25" s="23"/>
      <c r="G25" s="23"/>
      <c r="H25" s="23"/>
      <c r="I25" s="23"/>
      <c r="J25" s="23"/>
      <c r="K25" s="23"/>
      <c r="L25" s="23"/>
      <c r="M25" s="23"/>
      <c r="N25" s="125"/>
    </row>
    <row r="26" spans="1:21" ht="16" x14ac:dyDescent="0.2">
      <c r="A26" s="511"/>
      <c r="B26" s="523"/>
      <c r="C26" s="525"/>
      <c r="D26" s="64" t="s">
        <v>321</v>
      </c>
      <c r="E26" s="23"/>
      <c r="F26" s="23"/>
      <c r="G26" s="23"/>
      <c r="H26" s="23"/>
      <c r="I26" s="23"/>
      <c r="J26" s="23"/>
      <c r="K26" s="23"/>
      <c r="L26" s="23"/>
      <c r="M26" s="23"/>
      <c r="N26" s="125"/>
    </row>
    <row r="27" spans="1:21" ht="16" x14ac:dyDescent="0.2">
      <c r="A27" s="515">
        <v>9</v>
      </c>
      <c r="B27" s="517">
        <f>Assumptions!D69</f>
        <v>8643.7000000000025</v>
      </c>
      <c r="C27" s="515"/>
      <c r="D27" s="61" t="s">
        <v>461</v>
      </c>
      <c r="E27" s="16"/>
      <c r="F27" s="16"/>
      <c r="G27" s="16"/>
      <c r="H27" s="16"/>
      <c r="I27" s="16"/>
      <c r="J27" s="17"/>
      <c r="K27" s="17"/>
      <c r="L27" s="17"/>
      <c r="M27" s="17"/>
      <c r="N27" s="123"/>
    </row>
    <row r="28" spans="1:21" ht="16" x14ac:dyDescent="0.2">
      <c r="A28" s="516"/>
      <c r="B28" s="518"/>
      <c r="C28" s="516"/>
      <c r="D28" s="61" t="s">
        <v>462</v>
      </c>
      <c r="E28" s="16"/>
      <c r="F28" s="16"/>
      <c r="G28" s="16"/>
      <c r="H28" s="16"/>
      <c r="I28" s="16"/>
      <c r="J28" s="17"/>
      <c r="K28" s="17"/>
      <c r="L28" s="17"/>
      <c r="M28" s="17"/>
      <c r="N28" s="123"/>
    </row>
    <row r="29" spans="1:21" x14ac:dyDescent="0.2">
      <c r="A29" s="516"/>
      <c r="B29" s="518"/>
      <c r="C29" s="516"/>
      <c r="D29" s="63" t="s">
        <v>321</v>
      </c>
      <c r="E29" s="16"/>
      <c r="F29" s="16"/>
      <c r="G29" s="16"/>
      <c r="H29" s="16"/>
      <c r="I29" s="16"/>
      <c r="J29" s="17"/>
      <c r="K29" s="17"/>
      <c r="L29" s="17"/>
      <c r="M29" s="17"/>
      <c r="N29" s="123"/>
    </row>
    <row r="30" spans="1:21" ht="16" x14ac:dyDescent="0.2">
      <c r="A30" s="509">
        <v>10</v>
      </c>
      <c r="B30" s="522">
        <f>Assumptions!D70</f>
        <v>2860.4270000000001</v>
      </c>
      <c r="C30" s="524"/>
      <c r="D30" s="64" t="s">
        <v>461</v>
      </c>
      <c r="E30" s="22"/>
      <c r="F30" s="22"/>
      <c r="G30" s="22"/>
      <c r="H30" s="22"/>
      <c r="I30" s="22"/>
      <c r="J30" s="23"/>
      <c r="K30" s="23"/>
      <c r="L30" s="23"/>
      <c r="M30" s="23"/>
      <c r="N30" s="125"/>
    </row>
    <row r="31" spans="1:21" ht="16" x14ac:dyDescent="0.2">
      <c r="A31" s="510"/>
      <c r="B31" s="523"/>
      <c r="C31" s="525"/>
      <c r="D31" s="64" t="s">
        <v>462</v>
      </c>
      <c r="E31" s="22"/>
      <c r="F31" s="22"/>
      <c r="G31" s="22"/>
      <c r="H31" s="22"/>
      <c r="I31" s="22"/>
      <c r="J31" s="23"/>
      <c r="K31" s="23"/>
      <c r="L31" s="23"/>
      <c r="M31" s="23"/>
      <c r="N31" s="125"/>
    </row>
    <row r="32" spans="1:21" ht="16" x14ac:dyDescent="0.2">
      <c r="A32" s="511"/>
      <c r="B32" s="523"/>
      <c r="C32" s="525"/>
      <c r="D32" s="64" t="s">
        <v>321</v>
      </c>
      <c r="E32" s="22"/>
      <c r="F32" s="22"/>
      <c r="G32" s="22"/>
      <c r="H32" s="22"/>
      <c r="I32" s="22"/>
      <c r="J32" s="23"/>
      <c r="K32" s="23"/>
      <c r="L32" s="23"/>
      <c r="M32" s="23"/>
      <c r="N32" s="125"/>
    </row>
    <row r="33" spans="1:14" ht="16" x14ac:dyDescent="0.2">
      <c r="A33" s="515">
        <v>11</v>
      </c>
      <c r="B33" s="517">
        <f>Assumptions!D71</f>
        <v>9034.3230000000021</v>
      </c>
      <c r="C33" s="515"/>
      <c r="D33" s="61" t="s">
        <v>461</v>
      </c>
      <c r="E33" s="16"/>
      <c r="F33" s="16"/>
      <c r="G33" s="16"/>
      <c r="H33" s="16"/>
      <c r="I33" s="16"/>
      <c r="J33" s="17"/>
      <c r="K33" s="17"/>
      <c r="L33" s="17"/>
      <c r="M33" s="17"/>
      <c r="N33" s="123"/>
    </row>
    <row r="34" spans="1:14" ht="16" x14ac:dyDescent="0.2">
      <c r="A34" s="516"/>
      <c r="B34" s="518"/>
      <c r="C34" s="516"/>
      <c r="D34" s="61" t="s">
        <v>462</v>
      </c>
      <c r="E34" s="16"/>
      <c r="F34" s="16"/>
      <c r="G34" s="16"/>
      <c r="H34" s="16"/>
      <c r="I34" s="16"/>
      <c r="J34" s="17"/>
      <c r="K34" s="17"/>
      <c r="L34" s="17"/>
      <c r="M34" s="17"/>
      <c r="N34" s="123"/>
    </row>
    <row r="35" spans="1:14" x14ac:dyDescent="0.2">
      <c r="A35" s="516"/>
      <c r="B35" s="518"/>
      <c r="C35" s="516"/>
      <c r="D35" s="63" t="s">
        <v>321</v>
      </c>
      <c r="E35" s="16"/>
      <c r="F35" s="16"/>
      <c r="G35" s="16"/>
      <c r="H35" s="16"/>
      <c r="I35" s="16"/>
      <c r="J35" s="17"/>
      <c r="K35" s="17"/>
      <c r="L35" s="17"/>
      <c r="M35" s="17"/>
      <c r="N35" s="123"/>
    </row>
    <row r="36" spans="1:14" ht="16" x14ac:dyDescent="0.2">
      <c r="A36" s="509">
        <v>12</v>
      </c>
      <c r="B36" s="522">
        <f>Assumptions!D72</f>
        <v>2315.3180000000002</v>
      </c>
      <c r="C36" s="524"/>
      <c r="D36" s="64" t="s">
        <v>461</v>
      </c>
      <c r="E36" s="22">
        <v>20</v>
      </c>
      <c r="F36" s="22">
        <v>20</v>
      </c>
      <c r="G36" s="22">
        <v>20</v>
      </c>
      <c r="H36" s="22">
        <v>20</v>
      </c>
      <c r="I36" s="22">
        <v>20</v>
      </c>
      <c r="J36" s="23">
        <v>20</v>
      </c>
      <c r="K36" s="23">
        <v>20</v>
      </c>
      <c r="L36" s="23">
        <v>8</v>
      </c>
      <c r="M36" s="23">
        <v>8</v>
      </c>
      <c r="N36" s="125">
        <v>8</v>
      </c>
    </row>
    <row r="37" spans="1:14" ht="16" x14ac:dyDescent="0.2">
      <c r="A37" s="510"/>
      <c r="B37" s="523"/>
      <c r="C37" s="525"/>
      <c r="D37" s="64" t="s">
        <v>462</v>
      </c>
      <c r="E37" s="22"/>
      <c r="F37" s="22"/>
      <c r="G37" s="22"/>
      <c r="H37" s="22"/>
      <c r="I37" s="22"/>
      <c r="J37" s="23"/>
      <c r="K37" s="23"/>
      <c r="L37" s="23"/>
      <c r="M37" s="23"/>
      <c r="N37" s="125"/>
    </row>
    <row r="38" spans="1:14" ht="16" x14ac:dyDescent="0.2">
      <c r="A38" s="511"/>
      <c r="B38" s="523"/>
      <c r="C38" s="525"/>
      <c r="D38" s="64" t="s">
        <v>321</v>
      </c>
      <c r="E38" s="22"/>
      <c r="F38" s="22"/>
      <c r="G38" s="22"/>
      <c r="H38" s="22"/>
      <c r="I38" s="22"/>
      <c r="J38" s="23"/>
      <c r="K38" s="23"/>
      <c r="L38" s="23"/>
      <c r="M38" s="23"/>
      <c r="N38" s="125"/>
    </row>
    <row r="39" spans="1:14" ht="16" x14ac:dyDescent="0.2">
      <c r="A39" s="515">
        <v>13</v>
      </c>
      <c r="B39" s="517">
        <f>Assumptions!D73</f>
        <v>5717.201</v>
      </c>
      <c r="C39" s="515"/>
      <c r="D39" s="61" t="s">
        <v>461</v>
      </c>
      <c r="E39" s="16"/>
      <c r="F39" s="16"/>
      <c r="G39" s="16"/>
      <c r="H39" s="16"/>
      <c r="I39" s="16"/>
      <c r="J39" s="16"/>
      <c r="K39" s="17"/>
      <c r="L39" s="17"/>
      <c r="M39" s="17"/>
      <c r="N39" s="17"/>
    </row>
    <row r="40" spans="1:14" ht="16" x14ac:dyDescent="0.2">
      <c r="A40" s="516"/>
      <c r="B40" s="518"/>
      <c r="C40" s="516"/>
      <c r="D40" s="61" t="s">
        <v>462</v>
      </c>
      <c r="E40" s="16"/>
      <c r="F40" s="16"/>
      <c r="G40" s="16"/>
      <c r="H40" s="16"/>
      <c r="I40" s="16"/>
      <c r="J40" s="16"/>
      <c r="K40" s="17"/>
      <c r="L40" s="17"/>
      <c r="M40" s="17"/>
      <c r="N40" s="17"/>
    </row>
    <row r="41" spans="1:14" x14ac:dyDescent="0.2">
      <c r="A41" s="516"/>
      <c r="B41" s="518"/>
      <c r="C41" s="516"/>
      <c r="D41" s="63" t="s">
        <v>321</v>
      </c>
      <c r="E41" s="16"/>
      <c r="F41" s="16"/>
      <c r="G41" s="16"/>
      <c r="H41" s="16"/>
      <c r="I41" s="16"/>
      <c r="J41" s="16"/>
      <c r="K41" s="17"/>
      <c r="L41" s="17"/>
      <c r="M41" s="17"/>
      <c r="N41" s="17"/>
    </row>
    <row r="42" spans="1:14" ht="16" x14ac:dyDescent="0.2">
      <c r="A42" s="509">
        <v>14</v>
      </c>
      <c r="B42" s="522">
        <f>Assumptions!D74</f>
        <v>3768.0449999999996</v>
      </c>
      <c r="C42" s="524"/>
      <c r="D42" s="64" t="s">
        <v>461</v>
      </c>
      <c r="E42" s="128"/>
      <c r="F42" s="128"/>
      <c r="G42" s="22"/>
      <c r="H42" s="22"/>
      <c r="I42" s="22"/>
      <c r="J42" s="22"/>
      <c r="K42" s="23"/>
      <c r="L42" s="23"/>
      <c r="M42" s="23"/>
      <c r="N42" s="125"/>
    </row>
    <row r="43" spans="1:14" ht="16" x14ac:dyDescent="0.2">
      <c r="A43" s="510"/>
      <c r="B43" s="523"/>
      <c r="C43" s="525"/>
      <c r="D43" s="64" t="s">
        <v>462</v>
      </c>
      <c r="E43" s="128"/>
      <c r="F43" s="128"/>
      <c r="G43" s="22"/>
      <c r="H43" s="22"/>
      <c r="I43" s="22"/>
      <c r="J43" s="22"/>
      <c r="K43" s="23"/>
      <c r="L43" s="23"/>
      <c r="M43" s="23"/>
      <c r="N43" s="125"/>
    </row>
    <row r="44" spans="1:14" ht="16" x14ac:dyDescent="0.2">
      <c r="A44" s="511"/>
      <c r="B44" s="523"/>
      <c r="C44" s="525"/>
      <c r="D44" s="64" t="s">
        <v>321</v>
      </c>
      <c r="E44" s="128"/>
      <c r="F44" s="128"/>
      <c r="G44" s="22"/>
      <c r="H44" s="22"/>
      <c r="I44" s="22"/>
      <c r="J44" s="22"/>
      <c r="K44" s="23"/>
      <c r="L44" s="23"/>
      <c r="M44" s="23"/>
      <c r="N44" s="125"/>
    </row>
    <row r="45" spans="1:14" ht="16" x14ac:dyDescent="0.2">
      <c r="A45" s="515">
        <v>15</v>
      </c>
      <c r="B45" s="517">
        <f>Assumptions!D75</f>
        <v>236.66199999999998</v>
      </c>
      <c r="C45" s="515"/>
      <c r="D45" s="61" t="s">
        <v>461</v>
      </c>
      <c r="E45" s="16"/>
      <c r="F45" s="16"/>
      <c r="G45" s="16"/>
      <c r="H45" s="16"/>
      <c r="I45" s="16"/>
      <c r="J45" s="16"/>
      <c r="K45" s="17"/>
      <c r="L45" s="17"/>
      <c r="M45" s="17"/>
      <c r="N45" s="123"/>
    </row>
    <row r="46" spans="1:14" ht="16" x14ac:dyDescent="0.2">
      <c r="A46" s="516"/>
      <c r="B46" s="518"/>
      <c r="C46" s="516"/>
      <c r="D46" s="61" t="s">
        <v>462</v>
      </c>
      <c r="E46" s="16"/>
      <c r="F46" s="16"/>
      <c r="G46" s="16"/>
      <c r="H46" s="16"/>
      <c r="I46" s="16"/>
      <c r="J46" s="16"/>
      <c r="K46" s="17"/>
      <c r="L46" s="17"/>
      <c r="M46" s="17"/>
      <c r="N46" s="123"/>
    </row>
    <row r="47" spans="1:14" x14ac:dyDescent="0.2">
      <c r="A47" s="516"/>
      <c r="B47" s="518"/>
      <c r="C47" s="516"/>
      <c r="D47" s="63" t="s">
        <v>321</v>
      </c>
      <c r="E47" s="16"/>
      <c r="F47" s="16"/>
      <c r="G47" s="16"/>
      <c r="H47" s="16"/>
      <c r="I47" s="16"/>
      <c r="J47" s="16"/>
      <c r="K47" s="17"/>
      <c r="L47" s="17"/>
      <c r="M47" s="17"/>
      <c r="N47" s="123"/>
    </row>
    <row r="48" spans="1:14" ht="16" x14ac:dyDescent="0.2">
      <c r="A48" s="509">
        <v>16</v>
      </c>
      <c r="B48" s="522">
        <f>Assumptions!D76</f>
        <v>6640.8160000000016</v>
      </c>
      <c r="C48" s="524"/>
      <c r="D48" s="64" t="s">
        <v>461</v>
      </c>
      <c r="E48" s="22"/>
      <c r="F48" s="22"/>
      <c r="G48" s="22"/>
      <c r="H48" s="22"/>
      <c r="I48" s="22"/>
      <c r="J48" s="23"/>
      <c r="K48" s="23"/>
      <c r="L48" s="23"/>
      <c r="M48" s="23"/>
      <c r="N48" s="125"/>
    </row>
    <row r="49" spans="1:14" ht="16" x14ac:dyDescent="0.2">
      <c r="A49" s="510"/>
      <c r="B49" s="523"/>
      <c r="C49" s="525"/>
      <c r="D49" s="64" t="s">
        <v>462</v>
      </c>
      <c r="E49" s="22"/>
      <c r="F49" s="22"/>
      <c r="G49" s="22"/>
      <c r="H49" s="22"/>
      <c r="I49" s="22"/>
      <c r="J49" s="23"/>
      <c r="K49" s="23"/>
      <c r="L49" s="23"/>
      <c r="M49" s="23"/>
      <c r="N49" s="125"/>
    </row>
    <row r="50" spans="1:14" ht="16" x14ac:dyDescent="0.2">
      <c r="A50" s="511"/>
      <c r="B50" s="523"/>
      <c r="C50" s="525"/>
      <c r="D50" s="64" t="s">
        <v>321</v>
      </c>
      <c r="E50" s="22"/>
      <c r="F50" s="22"/>
      <c r="G50" s="22"/>
      <c r="H50" s="22"/>
      <c r="I50" s="22"/>
      <c r="J50" s="23"/>
      <c r="K50" s="23"/>
      <c r="L50" s="23"/>
      <c r="M50" s="23"/>
      <c r="N50" s="125"/>
    </row>
    <row r="51" spans="1:14" ht="16" x14ac:dyDescent="0.2">
      <c r="A51" s="515">
        <v>17</v>
      </c>
      <c r="B51" s="517">
        <f>Assumptions!D77</f>
        <v>837.08299999999997</v>
      </c>
      <c r="C51" s="515"/>
      <c r="D51" s="61" t="s">
        <v>461</v>
      </c>
      <c r="E51" s="16"/>
      <c r="F51" s="16"/>
      <c r="G51" s="16"/>
      <c r="H51" s="16"/>
      <c r="I51" s="16"/>
      <c r="J51" s="16"/>
      <c r="K51" s="17"/>
      <c r="L51" s="17"/>
      <c r="M51" s="17"/>
      <c r="N51" s="17"/>
    </row>
    <row r="52" spans="1:14" ht="16" x14ac:dyDescent="0.2">
      <c r="A52" s="516"/>
      <c r="B52" s="518"/>
      <c r="C52" s="516"/>
      <c r="D52" s="61" t="s">
        <v>462</v>
      </c>
      <c r="E52" s="16"/>
      <c r="F52" s="16"/>
      <c r="G52" s="16"/>
      <c r="H52" s="16"/>
      <c r="I52" s="16"/>
      <c r="J52" s="16"/>
      <c r="K52" s="17"/>
      <c r="L52" s="17"/>
      <c r="M52" s="17"/>
      <c r="N52" s="17"/>
    </row>
    <row r="53" spans="1:14" x14ac:dyDescent="0.2">
      <c r="A53" s="516"/>
      <c r="B53" s="518"/>
      <c r="C53" s="516"/>
      <c r="D53" s="63" t="s">
        <v>321</v>
      </c>
      <c r="E53" s="16"/>
      <c r="F53" s="16"/>
      <c r="G53" s="16"/>
      <c r="H53" s="16"/>
      <c r="I53" s="16"/>
      <c r="J53" s="16"/>
      <c r="K53" s="17"/>
      <c r="L53" s="17"/>
      <c r="M53" s="17"/>
      <c r="N53" s="17"/>
    </row>
    <row r="54" spans="1:14" ht="16" x14ac:dyDescent="0.2">
      <c r="A54" s="509">
        <v>18</v>
      </c>
      <c r="B54" s="522">
        <f>Assumptions!D78</f>
        <v>1849.3409999999997</v>
      </c>
      <c r="C54" s="524"/>
      <c r="D54" s="64" t="s">
        <v>461</v>
      </c>
      <c r="E54" s="22"/>
      <c r="F54" s="22"/>
      <c r="G54" s="22"/>
      <c r="H54" s="22"/>
      <c r="I54" s="22"/>
      <c r="J54" s="23"/>
      <c r="K54" s="23"/>
      <c r="L54" s="23"/>
      <c r="M54" s="23"/>
      <c r="N54" s="125"/>
    </row>
    <row r="55" spans="1:14" ht="16" x14ac:dyDescent="0.2">
      <c r="A55" s="510"/>
      <c r="B55" s="523"/>
      <c r="C55" s="525"/>
      <c r="D55" s="64" t="s">
        <v>462</v>
      </c>
      <c r="E55" s="22"/>
      <c r="F55" s="22"/>
      <c r="G55" s="22"/>
      <c r="H55" s="22"/>
      <c r="I55" s="22"/>
      <c r="J55" s="23"/>
      <c r="K55" s="23"/>
      <c r="L55" s="23"/>
      <c r="M55" s="23"/>
      <c r="N55" s="125"/>
    </row>
    <row r="56" spans="1:14" ht="16" x14ac:dyDescent="0.2">
      <c r="A56" s="511"/>
      <c r="B56" s="523"/>
      <c r="C56" s="525"/>
      <c r="D56" s="64" t="s">
        <v>321</v>
      </c>
      <c r="E56" s="22"/>
      <c r="F56" s="22"/>
      <c r="G56" s="22"/>
      <c r="H56" s="22"/>
      <c r="I56" s="22"/>
      <c r="J56" s="23"/>
      <c r="K56" s="23"/>
      <c r="L56" s="23"/>
      <c r="M56" s="23"/>
      <c r="N56" s="125"/>
    </row>
    <row r="57" spans="1:14" ht="16" x14ac:dyDescent="0.2">
      <c r="A57" s="515">
        <v>19</v>
      </c>
      <c r="B57" s="517">
        <f>Assumptions!D79</f>
        <v>7884.7310000000007</v>
      </c>
      <c r="C57" s="515"/>
      <c r="D57" s="61" t="s">
        <v>461</v>
      </c>
      <c r="E57" s="16">
        <v>40</v>
      </c>
      <c r="F57" s="16">
        <v>0</v>
      </c>
      <c r="G57" s="16">
        <v>40</v>
      </c>
      <c r="H57" s="16">
        <v>40</v>
      </c>
      <c r="I57" s="16">
        <v>40</v>
      </c>
      <c r="J57" s="16">
        <v>40</v>
      </c>
      <c r="K57" s="16">
        <v>40</v>
      </c>
      <c r="L57" s="16">
        <v>40</v>
      </c>
      <c r="M57" s="16">
        <v>40</v>
      </c>
      <c r="N57" s="16">
        <v>40</v>
      </c>
    </row>
    <row r="58" spans="1:14" ht="16" x14ac:dyDescent="0.2">
      <c r="A58" s="516"/>
      <c r="B58" s="518"/>
      <c r="C58" s="516"/>
      <c r="D58" s="61" t="s">
        <v>462</v>
      </c>
      <c r="E58" s="16"/>
      <c r="F58" s="16"/>
      <c r="G58" s="16"/>
      <c r="H58" s="16"/>
      <c r="I58" s="16"/>
      <c r="J58" s="17"/>
      <c r="K58" s="17"/>
      <c r="L58" s="17"/>
      <c r="M58" s="17"/>
      <c r="N58" s="123"/>
    </row>
    <row r="59" spans="1:14" x14ac:dyDescent="0.2">
      <c r="A59" s="516"/>
      <c r="B59" s="518"/>
      <c r="C59" s="516"/>
      <c r="D59" s="63" t="s">
        <v>321</v>
      </c>
      <c r="E59" s="16"/>
      <c r="F59" s="16"/>
      <c r="G59" s="16"/>
      <c r="H59" s="16"/>
      <c r="I59" s="16"/>
      <c r="J59" s="17"/>
      <c r="K59" s="17"/>
      <c r="L59" s="17"/>
      <c r="M59" s="17"/>
      <c r="N59" s="123"/>
    </row>
    <row r="60" spans="1:14" ht="16" x14ac:dyDescent="0.2">
      <c r="A60" s="509">
        <v>20</v>
      </c>
      <c r="B60" s="522">
        <f>Assumptions!D80</f>
        <v>2195.1750000000002</v>
      </c>
      <c r="C60" s="524"/>
      <c r="D60" s="64" t="s">
        <v>461</v>
      </c>
      <c r="E60" s="22"/>
      <c r="F60" s="22"/>
      <c r="G60" s="22"/>
      <c r="H60" s="22"/>
      <c r="I60" s="22"/>
      <c r="J60" s="22"/>
      <c r="K60" s="22"/>
      <c r="L60" s="22"/>
      <c r="M60" s="22"/>
      <c r="N60" s="22"/>
    </row>
    <row r="61" spans="1:14" ht="16" x14ac:dyDescent="0.2">
      <c r="A61" s="510"/>
      <c r="B61" s="523"/>
      <c r="C61" s="525"/>
      <c r="D61" s="64" t="s">
        <v>462</v>
      </c>
      <c r="E61" s="22"/>
      <c r="F61" s="22"/>
      <c r="G61" s="22"/>
      <c r="H61" s="22"/>
      <c r="I61" s="22"/>
      <c r="J61" s="23"/>
      <c r="K61" s="23"/>
      <c r="L61" s="23"/>
      <c r="M61" s="23"/>
      <c r="N61" s="125"/>
    </row>
    <row r="62" spans="1:14" ht="16" x14ac:dyDescent="0.2">
      <c r="A62" s="511"/>
      <c r="B62" s="523"/>
      <c r="C62" s="525"/>
      <c r="D62" s="64" t="s">
        <v>321</v>
      </c>
      <c r="E62" s="22"/>
      <c r="F62" s="22"/>
      <c r="G62" s="22"/>
      <c r="H62" s="22"/>
      <c r="I62" s="22"/>
      <c r="J62" s="23"/>
      <c r="K62" s="23"/>
      <c r="L62" s="23"/>
      <c r="M62" s="23"/>
      <c r="N62" s="125"/>
    </row>
    <row r="63" spans="1:14" ht="16" x14ac:dyDescent="0.2">
      <c r="A63" s="515">
        <v>21</v>
      </c>
      <c r="B63" s="517">
        <f>Assumptions!D81</f>
        <v>454.25200000000001</v>
      </c>
      <c r="C63" s="515"/>
      <c r="D63" s="61" t="s">
        <v>461</v>
      </c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14" ht="16" x14ac:dyDescent="0.2">
      <c r="A64" s="516"/>
      <c r="B64" s="518"/>
      <c r="C64" s="516"/>
      <c r="D64" s="61" t="s">
        <v>462</v>
      </c>
      <c r="E64" s="16"/>
      <c r="F64" s="16"/>
      <c r="G64" s="16"/>
      <c r="H64" s="16"/>
      <c r="I64" s="16"/>
      <c r="J64" s="17"/>
      <c r="K64" s="17"/>
      <c r="L64" s="17"/>
      <c r="M64" s="17"/>
      <c r="N64" s="123"/>
    </row>
    <row r="65" spans="1:14" x14ac:dyDescent="0.2">
      <c r="A65" s="516"/>
      <c r="B65" s="518"/>
      <c r="C65" s="516"/>
      <c r="D65" s="63" t="s">
        <v>321</v>
      </c>
      <c r="E65" s="16"/>
      <c r="F65" s="16"/>
      <c r="G65" s="16"/>
      <c r="H65" s="16"/>
      <c r="I65" s="16"/>
      <c r="J65" s="17"/>
      <c r="K65" s="17"/>
      <c r="L65" s="17"/>
      <c r="M65" s="17"/>
      <c r="N65" s="123"/>
    </row>
    <row r="66" spans="1:14" ht="16" x14ac:dyDescent="0.2">
      <c r="A66" s="509">
        <v>22</v>
      </c>
      <c r="B66" s="522">
        <f>Assumptions!D82</f>
        <v>18064.454000000005</v>
      </c>
      <c r="C66" s="524"/>
      <c r="D66" s="64" t="s">
        <v>461</v>
      </c>
      <c r="E66" s="22"/>
      <c r="F66" s="22"/>
      <c r="G66" s="22"/>
      <c r="H66" s="22"/>
      <c r="I66" s="22"/>
      <c r="J66" s="22"/>
      <c r="K66" s="23"/>
      <c r="L66" s="23"/>
      <c r="M66" s="23"/>
      <c r="N66" s="23"/>
    </row>
    <row r="67" spans="1:14" ht="16" x14ac:dyDescent="0.2">
      <c r="A67" s="510"/>
      <c r="B67" s="523"/>
      <c r="C67" s="525"/>
      <c r="D67" s="64" t="s">
        <v>462</v>
      </c>
      <c r="E67" s="22"/>
      <c r="F67" s="22"/>
      <c r="G67" s="22"/>
      <c r="H67" s="22"/>
      <c r="I67" s="22"/>
      <c r="J67" s="22"/>
      <c r="K67" s="23"/>
      <c r="L67" s="23"/>
      <c r="M67" s="23"/>
      <c r="N67" s="23"/>
    </row>
    <row r="68" spans="1:14" ht="16" x14ac:dyDescent="0.2">
      <c r="A68" s="511"/>
      <c r="B68" s="523"/>
      <c r="C68" s="525"/>
      <c r="D68" s="64" t="s">
        <v>321</v>
      </c>
      <c r="E68" s="22"/>
      <c r="F68" s="22"/>
      <c r="G68" s="22"/>
      <c r="H68" s="22"/>
      <c r="I68" s="22"/>
      <c r="J68" s="22"/>
      <c r="K68" s="23"/>
      <c r="L68" s="23"/>
      <c r="M68" s="23"/>
      <c r="N68" s="23"/>
    </row>
    <row r="69" spans="1:14" x14ac:dyDescent="0.2">
      <c r="A69" s="2"/>
      <c r="B69" s="476">
        <f>SUM(B3:B66)</f>
        <v>91950.642000000022</v>
      </c>
      <c r="K69"/>
    </row>
  </sheetData>
  <mergeCells count="73">
    <mergeCell ref="A66:A68"/>
    <mergeCell ref="B66:B68"/>
    <mergeCell ref="C66:C68"/>
    <mergeCell ref="A60:A62"/>
    <mergeCell ref="B60:B62"/>
    <mergeCell ref="C60:C62"/>
    <mergeCell ref="A63:A65"/>
    <mergeCell ref="B63:B65"/>
    <mergeCell ref="C63:C65"/>
    <mergeCell ref="A54:A56"/>
    <mergeCell ref="B54:B56"/>
    <mergeCell ref="C54:C56"/>
    <mergeCell ref="A57:A59"/>
    <mergeCell ref="B57:B59"/>
    <mergeCell ref="C57:C59"/>
    <mergeCell ref="A48:A50"/>
    <mergeCell ref="B48:B50"/>
    <mergeCell ref="C48:C50"/>
    <mergeCell ref="A51:A53"/>
    <mergeCell ref="B51:B53"/>
    <mergeCell ref="C51:C53"/>
    <mergeCell ref="A42:A44"/>
    <mergeCell ref="B42:B44"/>
    <mergeCell ref="C42:C44"/>
    <mergeCell ref="A45:A47"/>
    <mergeCell ref="B45:B47"/>
    <mergeCell ref="C45:C47"/>
    <mergeCell ref="A36:A38"/>
    <mergeCell ref="B36:B38"/>
    <mergeCell ref="C36:C38"/>
    <mergeCell ref="A39:A41"/>
    <mergeCell ref="B39:B41"/>
    <mergeCell ref="C39:C41"/>
    <mergeCell ref="A30:A32"/>
    <mergeCell ref="B30:B32"/>
    <mergeCell ref="C30:C32"/>
    <mergeCell ref="A33:A35"/>
    <mergeCell ref="B33:B35"/>
    <mergeCell ref="C33:C35"/>
    <mergeCell ref="A24:A26"/>
    <mergeCell ref="B24:B26"/>
    <mergeCell ref="C24:C26"/>
    <mergeCell ref="A27:A29"/>
    <mergeCell ref="B27:B29"/>
    <mergeCell ref="C27:C29"/>
    <mergeCell ref="A18:A20"/>
    <mergeCell ref="B18:B20"/>
    <mergeCell ref="C18:C20"/>
    <mergeCell ref="A21:A23"/>
    <mergeCell ref="B21:B23"/>
    <mergeCell ref="C21:C23"/>
    <mergeCell ref="A12:A14"/>
    <mergeCell ref="B12:B14"/>
    <mergeCell ref="C12:C14"/>
    <mergeCell ref="A15:A17"/>
    <mergeCell ref="B15:B17"/>
    <mergeCell ref="C15:C17"/>
    <mergeCell ref="R8:R9"/>
    <mergeCell ref="S8:U8"/>
    <mergeCell ref="A9:A11"/>
    <mergeCell ref="B9:B11"/>
    <mergeCell ref="C9:C11"/>
    <mergeCell ref="D1:D2"/>
    <mergeCell ref="E2:N2"/>
    <mergeCell ref="A6:A8"/>
    <mergeCell ref="B6:B8"/>
    <mergeCell ref="C6:C8"/>
    <mergeCell ref="A3:A5"/>
    <mergeCell ref="B3:B5"/>
    <mergeCell ref="C3:C5"/>
    <mergeCell ref="A1:A2"/>
    <mergeCell ref="B1:B2"/>
    <mergeCell ref="C1:C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C36E7-E6DB-4EDD-982A-98A1987615B1}">
  <dimension ref="A1:N33"/>
  <sheetViews>
    <sheetView zoomScale="130" zoomScaleNormal="130" workbookViewId="0">
      <selection activeCell="G32" sqref="G32"/>
    </sheetView>
  </sheetViews>
  <sheetFormatPr baseColWidth="10" defaultColWidth="8.83203125" defaultRowHeight="15" x14ac:dyDescent="0.2"/>
  <cols>
    <col min="1" max="1" width="10.1640625" customWidth="1"/>
    <col min="2" max="2" width="19.5" customWidth="1"/>
    <col min="3" max="3" width="23.5" customWidth="1"/>
    <col min="4" max="4" width="20.5" customWidth="1"/>
    <col min="5" max="5" width="18.6640625" customWidth="1"/>
    <col min="6" max="6" width="9.6640625" bestFit="1" customWidth="1"/>
  </cols>
  <sheetData>
    <row r="1" spans="1:14" x14ac:dyDescent="0.2">
      <c r="A1" s="547" t="s">
        <v>415</v>
      </c>
      <c r="B1" s="547"/>
      <c r="C1" s="547"/>
      <c r="D1" s="547"/>
      <c r="E1" s="547"/>
      <c r="F1" s="547"/>
    </row>
    <row r="2" spans="1:14" x14ac:dyDescent="0.2">
      <c r="A2" s="108" t="s">
        <v>416</v>
      </c>
      <c r="B2" s="108">
        <v>2710</v>
      </c>
      <c r="E2" s="11"/>
    </row>
    <row r="3" spans="1:14" x14ac:dyDescent="0.2">
      <c r="A3" s="108" t="s">
        <v>417</v>
      </c>
      <c r="B3" s="108">
        <v>6</v>
      </c>
      <c r="E3" s="11"/>
    </row>
    <row r="5" spans="1:14" ht="68.5" customHeight="1" x14ac:dyDescent="0.2">
      <c r="A5" s="89" t="s">
        <v>164</v>
      </c>
      <c r="B5" s="89" t="s">
        <v>352</v>
      </c>
      <c r="C5" s="89" t="s">
        <v>353</v>
      </c>
      <c r="D5" s="89" t="s">
        <v>354</v>
      </c>
      <c r="E5" s="90" t="s">
        <v>355</v>
      </c>
      <c r="F5" s="90" t="s">
        <v>446</v>
      </c>
      <c r="G5" s="90" t="s">
        <v>447</v>
      </c>
      <c r="J5" s="212" t="s">
        <v>629</v>
      </c>
      <c r="K5" s="212" t="s">
        <v>630</v>
      </c>
      <c r="L5" s="258" t="s">
        <v>675</v>
      </c>
      <c r="M5" s="259"/>
      <c r="N5" s="259"/>
    </row>
    <row r="6" spans="1:14" x14ac:dyDescent="0.2">
      <c r="A6" s="38">
        <v>2018</v>
      </c>
      <c r="B6" s="118">
        <f>'Emission Removal'!H31</f>
        <v>16556.514677805444</v>
      </c>
      <c r="C6" s="118">
        <f>'Emission Removal'!Q31</f>
        <v>-95094.477136031637</v>
      </c>
      <c r="D6" s="10">
        <v>0</v>
      </c>
      <c r="E6" s="118">
        <f>B6-C6</f>
        <v>111650.99181383708</v>
      </c>
      <c r="F6" s="10">
        <f>'Buffer Calculation'!D10</f>
        <v>20986.249358145862</v>
      </c>
      <c r="G6" s="118">
        <f>E6-F6</f>
        <v>90664.742455691216</v>
      </c>
      <c r="J6" s="265">
        <v>43282</v>
      </c>
      <c r="K6" s="265">
        <v>43465</v>
      </c>
      <c r="L6" s="98">
        <f>(K6-J6)+1</f>
        <v>184</v>
      </c>
      <c r="M6" s="2"/>
      <c r="N6" s="2"/>
    </row>
    <row r="7" spans="1:14" x14ac:dyDescent="0.2">
      <c r="A7" s="38">
        <v>2019</v>
      </c>
      <c r="B7" s="118">
        <f>'Emission Removal'!H32</f>
        <v>32843.086181516235</v>
      </c>
      <c r="C7" s="118">
        <f>'Emission Removal'!Q32</f>
        <v>-188638.50084049752</v>
      </c>
      <c r="D7" s="10">
        <v>0</v>
      </c>
      <c r="E7" s="118">
        <f t="shared" ref="E7:E26" si="0">B7-C7</f>
        <v>221481.58702201376</v>
      </c>
      <c r="F7" s="10">
        <f>'Buffer Calculation'!D11</f>
        <v>41630.331607191518</v>
      </c>
      <c r="G7" s="118">
        <f t="shared" ref="G7:G26" si="1">E7-F7</f>
        <v>179851.25541482226</v>
      </c>
      <c r="J7" s="265">
        <v>50406</v>
      </c>
      <c r="K7" s="265">
        <v>50586</v>
      </c>
      <c r="L7" s="98">
        <f>(K7-J7)+1</f>
        <v>181</v>
      </c>
      <c r="M7" s="2"/>
      <c r="N7" s="2"/>
    </row>
    <row r="8" spans="1:14" x14ac:dyDescent="0.2">
      <c r="A8" s="38">
        <v>2020</v>
      </c>
      <c r="B8" s="118">
        <f>'Emission Removal'!H33</f>
        <v>32843.086181516235</v>
      </c>
      <c r="C8" s="118">
        <f>'Emission Removal'!Q33</f>
        <v>-188638.50084049752</v>
      </c>
      <c r="D8" s="10">
        <v>0</v>
      </c>
      <c r="E8" s="118">
        <f>B8-C8</f>
        <v>221481.58702201376</v>
      </c>
      <c r="F8" s="10">
        <f>'Buffer Calculation'!D12</f>
        <v>41630.331607191518</v>
      </c>
      <c r="G8" s="118">
        <f t="shared" si="1"/>
        <v>179851.25541482226</v>
      </c>
    </row>
    <row r="9" spans="1:14" x14ac:dyDescent="0.2">
      <c r="A9" s="38">
        <v>2021</v>
      </c>
      <c r="B9" s="118">
        <f>'Emission Removal'!H34</f>
        <v>32843.086181516235</v>
      </c>
      <c r="C9" s="118">
        <f>'Emission Removal'!Q34</f>
        <v>-188638.50084049752</v>
      </c>
      <c r="D9" s="10">
        <v>0</v>
      </c>
      <c r="E9" s="118">
        <f t="shared" si="0"/>
        <v>221481.58702201376</v>
      </c>
      <c r="F9" s="10">
        <f>'Buffer Calculation'!D13</f>
        <v>41630.331607191518</v>
      </c>
      <c r="G9" s="118">
        <f t="shared" si="1"/>
        <v>179851.25541482226</v>
      </c>
    </row>
    <row r="10" spans="1:14" x14ac:dyDescent="0.2">
      <c r="A10" s="38">
        <v>2022</v>
      </c>
      <c r="B10" s="118">
        <f>'Emission Removal'!H35</f>
        <v>32843.086181516235</v>
      </c>
      <c r="C10" s="118">
        <f>'Emission Removal'!Q35</f>
        <v>-188638.50084049752</v>
      </c>
      <c r="D10" s="10">
        <v>0</v>
      </c>
      <c r="E10" s="118">
        <f t="shared" si="0"/>
        <v>221481.58702201376</v>
      </c>
      <c r="F10" s="10">
        <f>'Buffer Calculation'!D14</f>
        <v>41630.331607191518</v>
      </c>
      <c r="G10" s="118">
        <f t="shared" si="1"/>
        <v>179851.25541482226</v>
      </c>
    </row>
    <row r="11" spans="1:14" x14ac:dyDescent="0.2">
      <c r="A11" s="38">
        <v>2023</v>
      </c>
      <c r="B11" s="118">
        <f>'Emission Removal'!H36</f>
        <v>32843.086181516235</v>
      </c>
      <c r="C11" s="118">
        <f>'Emission Removal'!Q36</f>
        <v>-188638.50084049752</v>
      </c>
      <c r="D11" s="10">
        <v>0</v>
      </c>
      <c r="E11" s="118">
        <f t="shared" si="0"/>
        <v>221481.58702201376</v>
      </c>
      <c r="F11" s="10">
        <f>'Buffer Calculation'!D15</f>
        <v>41630.331607191518</v>
      </c>
      <c r="G11" s="118">
        <f t="shared" si="1"/>
        <v>179851.25541482226</v>
      </c>
    </row>
    <row r="12" spans="1:14" x14ac:dyDescent="0.2">
      <c r="A12" s="38">
        <v>2024</v>
      </c>
      <c r="B12" s="118">
        <f>'Emission Removal'!H37</f>
        <v>32843.086181516235</v>
      </c>
      <c r="C12" s="118">
        <f>'Emission Removal'!Q37</f>
        <v>-188638.50084049752</v>
      </c>
      <c r="D12" s="10">
        <v>0</v>
      </c>
      <c r="E12" s="118">
        <f t="shared" si="0"/>
        <v>221481.58702201376</v>
      </c>
      <c r="F12" s="10">
        <f>'Buffer Calculation'!D16</f>
        <v>41630.331607191518</v>
      </c>
      <c r="G12" s="118">
        <f t="shared" si="1"/>
        <v>179851.25541482226</v>
      </c>
    </row>
    <row r="13" spans="1:14" x14ac:dyDescent="0.2">
      <c r="A13" s="38">
        <v>2025</v>
      </c>
      <c r="B13" s="118">
        <f>'Emission Removal'!H38</f>
        <v>32843.086181516235</v>
      </c>
      <c r="C13" s="118">
        <f>'Emission Removal'!Q38</f>
        <v>-188638.50084049752</v>
      </c>
      <c r="D13" s="10">
        <v>0</v>
      </c>
      <c r="E13" s="118">
        <f t="shared" si="0"/>
        <v>221481.58702201376</v>
      </c>
      <c r="F13" s="10">
        <f>'Buffer Calculation'!D17</f>
        <v>41630.331607191518</v>
      </c>
      <c r="G13" s="118">
        <f t="shared" si="1"/>
        <v>179851.25541482226</v>
      </c>
    </row>
    <row r="14" spans="1:14" x14ac:dyDescent="0.2">
      <c r="A14" s="38">
        <v>2026</v>
      </c>
      <c r="B14" s="118">
        <f>'Emission Removal'!H39</f>
        <v>32843.086181516235</v>
      </c>
      <c r="C14" s="118">
        <f>'Emission Removal'!Q39</f>
        <v>-188638.50084049752</v>
      </c>
      <c r="D14" s="10">
        <v>0</v>
      </c>
      <c r="E14" s="118">
        <f t="shared" si="0"/>
        <v>221481.58702201376</v>
      </c>
      <c r="F14" s="10">
        <f>'Buffer Calculation'!D18</f>
        <v>41630.331607191518</v>
      </c>
      <c r="G14" s="118">
        <f t="shared" si="1"/>
        <v>179851.25541482226</v>
      </c>
    </row>
    <row r="15" spans="1:14" x14ac:dyDescent="0.2">
      <c r="A15" s="38">
        <v>2027</v>
      </c>
      <c r="B15" s="118">
        <f>'Emission Removal'!H40</f>
        <v>32843.086181516235</v>
      </c>
      <c r="C15" s="118">
        <f>'Emission Removal'!Q40</f>
        <v>-188638.50084049752</v>
      </c>
      <c r="D15" s="10">
        <v>0</v>
      </c>
      <c r="E15" s="118">
        <f t="shared" si="0"/>
        <v>221481.58702201376</v>
      </c>
      <c r="F15" s="10">
        <f>'Buffer Calculation'!D19</f>
        <v>41630.331607191518</v>
      </c>
      <c r="G15" s="118">
        <f t="shared" si="1"/>
        <v>179851.25541482226</v>
      </c>
    </row>
    <row r="16" spans="1:14" x14ac:dyDescent="0.2">
      <c r="A16" s="38">
        <v>2028</v>
      </c>
      <c r="B16" s="118">
        <f>'Emission Removal'!H41</f>
        <v>32843.086181516235</v>
      </c>
      <c r="C16" s="118">
        <f>'Emission Removal'!Q41</f>
        <v>-188638.50084049752</v>
      </c>
      <c r="D16" s="10">
        <v>0</v>
      </c>
      <c r="E16" s="118">
        <f t="shared" si="0"/>
        <v>221481.58702201376</v>
      </c>
      <c r="F16" s="10">
        <f>'Buffer Calculation'!D20</f>
        <v>41630.331607191518</v>
      </c>
      <c r="G16" s="118">
        <f t="shared" si="1"/>
        <v>179851.25541482226</v>
      </c>
    </row>
    <row r="17" spans="1:9" x14ac:dyDescent="0.2">
      <c r="A17" s="38">
        <v>2029</v>
      </c>
      <c r="B17" s="118">
        <f>'Emission Removal'!H42</f>
        <v>32843.086181516235</v>
      </c>
      <c r="C17" s="118">
        <f>'Emission Removal'!Q42</f>
        <v>-188638.50084049752</v>
      </c>
      <c r="D17" s="10">
        <v>0</v>
      </c>
      <c r="E17" s="118">
        <f t="shared" si="0"/>
        <v>221481.58702201376</v>
      </c>
      <c r="F17" s="10">
        <f>'Buffer Calculation'!D21</f>
        <v>41630.331607191518</v>
      </c>
      <c r="G17" s="118">
        <f t="shared" si="1"/>
        <v>179851.25541482226</v>
      </c>
    </row>
    <row r="18" spans="1:9" x14ac:dyDescent="0.2">
      <c r="A18" s="38">
        <v>2030</v>
      </c>
      <c r="B18" s="118">
        <f>'Emission Removal'!H43</f>
        <v>32843.086181516235</v>
      </c>
      <c r="C18" s="118">
        <f>'Emission Removal'!Q43</f>
        <v>-188638.50084049752</v>
      </c>
      <c r="D18" s="10">
        <v>0</v>
      </c>
      <c r="E18" s="118">
        <f t="shared" si="0"/>
        <v>221481.58702201376</v>
      </c>
      <c r="F18" s="10">
        <f>'Buffer Calculation'!D22</f>
        <v>41630.331607191518</v>
      </c>
      <c r="G18" s="118">
        <f t="shared" si="1"/>
        <v>179851.25541482226</v>
      </c>
    </row>
    <row r="19" spans="1:9" x14ac:dyDescent="0.2">
      <c r="A19" s="38">
        <v>2031</v>
      </c>
      <c r="B19" s="118">
        <f>'Emission Removal'!H44</f>
        <v>32843.086181516235</v>
      </c>
      <c r="C19" s="118">
        <f>'Emission Removal'!Q44</f>
        <v>-188638.50084049752</v>
      </c>
      <c r="D19" s="10">
        <v>0</v>
      </c>
      <c r="E19" s="118">
        <f t="shared" si="0"/>
        <v>221481.58702201376</v>
      </c>
      <c r="F19" s="10">
        <f>'Buffer Calculation'!D23</f>
        <v>41630.331607191518</v>
      </c>
      <c r="G19" s="118">
        <f t="shared" si="1"/>
        <v>179851.25541482226</v>
      </c>
    </row>
    <row r="20" spans="1:9" x14ac:dyDescent="0.2">
      <c r="A20" s="38">
        <v>2032</v>
      </c>
      <c r="B20" s="118">
        <f>'Emission Removal'!H45</f>
        <v>32843.086181516235</v>
      </c>
      <c r="C20" s="118">
        <f>'Emission Removal'!Q45</f>
        <v>-188638.50084049752</v>
      </c>
      <c r="D20" s="10">
        <v>0</v>
      </c>
      <c r="E20" s="118">
        <f t="shared" si="0"/>
        <v>221481.58702201376</v>
      </c>
      <c r="F20" s="10">
        <f>'Buffer Calculation'!D24</f>
        <v>41630.331607191518</v>
      </c>
      <c r="G20" s="118">
        <f t="shared" si="1"/>
        <v>179851.25541482226</v>
      </c>
    </row>
    <row r="21" spans="1:9" x14ac:dyDescent="0.2">
      <c r="A21" s="38">
        <v>2033</v>
      </c>
      <c r="B21" s="118">
        <f>'Emission Removal'!H46</f>
        <v>32843.086181516235</v>
      </c>
      <c r="C21" s="118">
        <f>'Emission Removal'!Q46</f>
        <v>-188638.50084049752</v>
      </c>
      <c r="D21" s="10">
        <v>0</v>
      </c>
      <c r="E21" s="118">
        <f t="shared" si="0"/>
        <v>221481.58702201376</v>
      </c>
      <c r="F21" s="10">
        <f>'Buffer Calculation'!D25</f>
        <v>41630.331607191518</v>
      </c>
      <c r="G21" s="118">
        <f t="shared" si="1"/>
        <v>179851.25541482226</v>
      </c>
    </row>
    <row r="22" spans="1:9" x14ac:dyDescent="0.2">
      <c r="A22" s="38">
        <v>2034</v>
      </c>
      <c r="B22" s="118">
        <f>'Emission Removal'!H47</f>
        <v>32843.086181516235</v>
      </c>
      <c r="C22" s="118">
        <f>'Emission Removal'!Q47</f>
        <v>-188638.50084049752</v>
      </c>
      <c r="D22" s="10">
        <v>0</v>
      </c>
      <c r="E22" s="118">
        <f t="shared" si="0"/>
        <v>221481.58702201376</v>
      </c>
      <c r="F22" s="10">
        <f>'Buffer Calculation'!D26</f>
        <v>41630.331607191518</v>
      </c>
      <c r="G22" s="118">
        <f t="shared" si="1"/>
        <v>179851.25541482226</v>
      </c>
    </row>
    <row r="23" spans="1:9" x14ac:dyDescent="0.2">
      <c r="A23" s="38">
        <v>2035</v>
      </c>
      <c r="B23" s="118">
        <f>'Emission Removal'!H48</f>
        <v>32843.086181516235</v>
      </c>
      <c r="C23" s="118">
        <f>'Emission Removal'!Q48</f>
        <v>-188638.50084049752</v>
      </c>
      <c r="D23" s="10">
        <v>0</v>
      </c>
      <c r="E23" s="118">
        <f t="shared" si="0"/>
        <v>221481.58702201376</v>
      </c>
      <c r="F23" s="10">
        <f>'Buffer Calculation'!D27</f>
        <v>41630.331607191518</v>
      </c>
      <c r="G23" s="118">
        <f t="shared" si="1"/>
        <v>179851.25541482226</v>
      </c>
    </row>
    <row r="24" spans="1:9" x14ac:dyDescent="0.2">
      <c r="A24" s="38">
        <v>2036</v>
      </c>
      <c r="B24" s="118">
        <f>'Emission Removal'!H49</f>
        <v>32843.086181516235</v>
      </c>
      <c r="C24" s="118">
        <f>'Emission Removal'!Q49</f>
        <v>-188638.50084049752</v>
      </c>
      <c r="D24" s="10">
        <v>0</v>
      </c>
      <c r="E24" s="118">
        <f t="shared" si="0"/>
        <v>221481.58702201376</v>
      </c>
      <c r="F24" s="10">
        <f>'Buffer Calculation'!D28</f>
        <v>41630.331607191518</v>
      </c>
      <c r="G24" s="118">
        <f t="shared" si="1"/>
        <v>179851.25541482226</v>
      </c>
    </row>
    <row r="25" spans="1:9" x14ac:dyDescent="0.2">
      <c r="A25" s="38">
        <v>2037</v>
      </c>
      <c r="B25" s="118">
        <f>'Emission Removal'!H50</f>
        <v>32843.086181516235</v>
      </c>
      <c r="C25" s="118">
        <f>'Emission Removal'!Q50</f>
        <v>-188638.50084049752</v>
      </c>
      <c r="D25" s="10">
        <v>0</v>
      </c>
      <c r="E25" s="118">
        <f t="shared" si="0"/>
        <v>221481.58702201376</v>
      </c>
      <c r="F25" s="10">
        <f>'Buffer Calculation'!D29</f>
        <v>41630.331607191518</v>
      </c>
      <c r="G25" s="118">
        <f t="shared" si="1"/>
        <v>179851.25541482226</v>
      </c>
    </row>
    <row r="26" spans="1:9" x14ac:dyDescent="0.2">
      <c r="A26" s="38">
        <v>2038</v>
      </c>
      <c r="B26" s="118">
        <f>'Emission Removal'!H51</f>
        <v>16286.571503710789</v>
      </c>
      <c r="C26" s="118">
        <f>'Emission Removal'!Q51</f>
        <v>-93544.023704465901</v>
      </c>
      <c r="D26" s="10">
        <v>0</v>
      </c>
      <c r="E26" s="118">
        <f t="shared" si="0"/>
        <v>109830.59520817669</v>
      </c>
      <c r="F26" s="10">
        <f>'Buffer Calculation'!D30</f>
        <v>20964.809120819758</v>
      </c>
      <c r="G26" s="118">
        <f t="shared" si="1"/>
        <v>88865.78608735693</v>
      </c>
    </row>
    <row r="27" spans="1:9" x14ac:dyDescent="0.2">
      <c r="A27" s="38" t="s">
        <v>361</v>
      </c>
      <c r="B27" s="118">
        <f t="shared" ref="B27:F27" si="2">SUM(B6:B26)</f>
        <v>656861.72363032482</v>
      </c>
      <c r="C27" s="118">
        <f t="shared" si="2"/>
        <v>-3772770.0168099515</v>
      </c>
      <c r="D27" s="118">
        <f t="shared" si="2"/>
        <v>0</v>
      </c>
      <c r="E27" s="118">
        <f t="shared" si="2"/>
        <v>4429631.7404402765</v>
      </c>
      <c r="F27" s="114">
        <f t="shared" si="2"/>
        <v>832927.35901560436</v>
      </c>
      <c r="G27" s="118">
        <f>SUM(G6:G26)</f>
        <v>3596704.3814246696</v>
      </c>
      <c r="I27" s="87"/>
    </row>
    <row r="28" spans="1:9" x14ac:dyDescent="0.2">
      <c r="A28" t="s">
        <v>704</v>
      </c>
      <c r="E28" s="475">
        <f>E27/20</f>
        <v>221481.58702201382</v>
      </c>
      <c r="F28">
        <f>F27/20</f>
        <v>41646.367950780215</v>
      </c>
      <c r="G28" s="475">
        <f>G27/20</f>
        <v>179835.21907123347</v>
      </c>
    </row>
    <row r="30" spans="1:9" x14ac:dyDescent="0.2">
      <c r="E30" s="87"/>
      <c r="F30" s="87"/>
      <c r="G30">
        <f>G27/20</f>
        <v>179835.21907123347</v>
      </c>
    </row>
    <row r="31" spans="1:9" x14ac:dyDescent="0.2">
      <c r="G31">
        <f>G30/91950.6</f>
        <v>1.9557808113403661</v>
      </c>
    </row>
    <row r="33" spans="3:3" x14ac:dyDescent="0.2">
      <c r="C33" s="87"/>
    </row>
  </sheetData>
  <mergeCells count="1">
    <mergeCell ref="A1:F1"/>
  </mergeCells>
  <phoneticPr fontId="17" type="noConversion"/>
  <pageMargins left="0.7" right="0.7" top="0.75" bottom="0.75" header="0.3" footer="0.3"/>
  <pageSetup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2E975-2759-4D07-A24A-1C8EC9028A0C}">
  <dimension ref="A1:G29"/>
  <sheetViews>
    <sheetView workbookViewId="0">
      <selection activeCell="E28" sqref="E28"/>
    </sheetView>
  </sheetViews>
  <sheetFormatPr baseColWidth="10" defaultColWidth="8.83203125" defaultRowHeight="15" x14ac:dyDescent="0.2"/>
  <cols>
    <col min="1" max="1" width="11.6640625" customWidth="1"/>
    <col min="2" max="2" width="13.1640625" customWidth="1"/>
    <col min="3" max="3" width="11.83203125" customWidth="1"/>
    <col min="4" max="4" width="12.6640625" customWidth="1"/>
    <col min="5" max="5" width="11.83203125" customWidth="1"/>
    <col min="6" max="6" width="14" customWidth="1"/>
  </cols>
  <sheetData>
    <row r="1" spans="1:7" x14ac:dyDescent="0.2">
      <c r="A1" s="547" t="s">
        <v>415</v>
      </c>
      <c r="B1" s="547"/>
      <c r="C1" s="547"/>
      <c r="D1" s="547"/>
      <c r="E1" s="547"/>
      <c r="F1" s="547"/>
    </row>
    <row r="2" spans="1:7" x14ac:dyDescent="0.2">
      <c r="A2" s="108" t="s">
        <v>416</v>
      </c>
      <c r="B2" s="108">
        <v>2710</v>
      </c>
      <c r="E2" s="11"/>
    </row>
    <row r="3" spans="1:7" x14ac:dyDescent="0.2">
      <c r="A3" s="108" t="s">
        <v>417</v>
      </c>
      <c r="B3" s="108">
        <v>6</v>
      </c>
      <c r="E3" s="11"/>
    </row>
    <row r="4" spans="1:7" ht="16" thickBot="1" x14ac:dyDescent="0.25"/>
    <row r="5" spans="1:7" ht="27" thickBot="1" x14ac:dyDescent="0.25">
      <c r="A5" s="92" t="s">
        <v>362</v>
      </c>
      <c r="B5" s="91" t="s">
        <v>363</v>
      </c>
      <c r="C5" s="91" t="s">
        <v>367</v>
      </c>
      <c r="D5" s="91" t="s">
        <v>364</v>
      </c>
      <c r="E5" s="91" t="s">
        <v>365</v>
      </c>
      <c r="F5" s="469" t="s">
        <v>366</v>
      </c>
      <c r="G5" s="471" t="s">
        <v>701</v>
      </c>
    </row>
    <row r="6" spans="1:7" ht="16" thickBot="1" x14ac:dyDescent="0.25">
      <c r="A6" s="10">
        <v>2018</v>
      </c>
      <c r="B6" s="94">
        <f>'Emission Removal'!I31</f>
        <v>222.88777098108361</v>
      </c>
      <c r="C6" s="94">
        <f>'Emission Removal'!J31</f>
        <v>46.363786738663784</v>
      </c>
      <c r="D6" s="94">
        <f>'Emission Removal'!K31</f>
        <v>15810.892344109587</v>
      </c>
      <c r="E6" s="94">
        <f>'Emission Removal'!O31</f>
        <v>7305.5623481534367</v>
      </c>
      <c r="F6" s="470">
        <f>'Emission Removal'!P31</f>
        <v>109284.71186376803</v>
      </c>
      <c r="G6" s="472">
        <f>'Emission Removal'!N31</f>
        <v>5415.6531740604942</v>
      </c>
    </row>
    <row r="7" spans="1:7" ht="16" thickBot="1" x14ac:dyDescent="0.25">
      <c r="A7" s="10">
        <v>2019</v>
      </c>
      <c r="B7" s="94">
        <f>'Emission Removal'!I32</f>
        <v>442.14150221791044</v>
      </c>
      <c r="C7" s="94">
        <f>'Emission Removal'!J32</f>
        <v>91.971642171805868</v>
      </c>
      <c r="D7" s="94">
        <f>'Emission Removal'!K32</f>
        <v>31363.998399999993</v>
      </c>
      <c r="E7" s="94">
        <f>'Emission Removal'!O32</f>
        <v>14492.012266717415</v>
      </c>
      <c r="F7" s="470">
        <f>'Emission Removal'!P32</f>
        <v>216787.60777323548</v>
      </c>
      <c r="G7" s="472">
        <f>'Emission Removal'!N32</f>
        <v>10743.007655065654</v>
      </c>
    </row>
    <row r="8" spans="1:7" ht="16" thickBot="1" x14ac:dyDescent="0.25">
      <c r="A8" s="10">
        <v>2020</v>
      </c>
      <c r="B8" s="94">
        <f>'Emission Removal'!I33</f>
        <v>442.14150221791044</v>
      </c>
      <c r="C8" s="94">
        <f>'Emission Removal'!J33</f>
        <v>91.971642171805868</v>
      </c>
      <c r="D8" s="94">
        <f>'Emission Removal'!K33</f>
        <v>31363.998399999993</v>
      </c>
      <c r="E8" s="94">
        <f>'Emission Removal'!O33</f>
        <v>14492.012266717415</v>
      </c>
      <c r="F8" s="470">
        <f>'Emission Removal'!P33</f>
        <v>216787.60777323548</v>
      </c>
      <c r="G8" s="472">
        <f>'Emission Removal'!N33</f>
        <v>10743.007655065654</v>
      </c>
    </row>
    <row r="9" spans="1:7" ht="16" thickBot="1" x14ac:dyDescent="0.25">
      <c r="A9" s="10">
        <v>2021</v>
      </c>
      <c r="B9" s="94">
        <f>'Emission Removal'!I34</f>
        <v>442.14150221791044</v>
      </c>
      <c r="C9" s="94">
        <f>'Emission Removal'!J34</f>
        <v>91.971642171805868</v>
      </c>
      <c r="D9" s="94">
        <f>'Emission Removal'!K34</f>
        <v>31363.998399999993</v>
      </c>
      <c r="E9" s="94">
        <f>'Emission Removal'!O34</f>
        <v>14492.012266717415</v>
      </c>
      <c r="F9" s="470">
        <f>'Emission Removal'!P34</f>
        <v>216787.60777323548</v>
      </c>
      <c r="G9" s="472">
        <f>'Emission Removal'!N34</f>
        <v>10743.007655065654</v>
      </c>
    </row>
    <row r="10" spans="1:7" ht="16" thickBot="1" x14ac:dyDescent="0.25">
      <c r="A10" s="10">
        <v>2022</v>
      </c>
      <c r="B10" s="94">
        <f>'Emission Removal'!I35</f>
        <v>442.14150221791044</v>
      </c>
      <c r="C10" s="94">
        <f>'Emission Removal'!J35</f>
        <v>91.971642171805868</v>
      </c>
      <c r="D10" s="94">
        <f>'Emission Removal'!K35</f>
        <v>31363.998399999993</v>
      </c>
      <c r="E10" s="94">
        <f>'Emission Removal'!O35</f>
        <v>14492.012266717415</v>
      </c>
      <c r="F10" s="470">
        <f>'Emission Removal'!P35</f>
        <v>216787.60777323548</v>
      </c>
      <c r="G10" s="472">
        <f>'Emission Removal'!N35</f>
        <v>10743.007655065654</v>
      </c>
    </row>
    <row r="11" spans="1:7" ht="16" thickBot="1" x14ac:dyDescent="0.25">
      <c r="A11" s="10">
        <v>2023</v>
      </c>
      <c r="B11" s="94">
        <f>'Emission Removal'!I36</f>
        <v>442.14150221791044</v>
      </c>
      <c r="C11" s="94">
        <f>'Emission Removal'!J36</f>
        <v>91.971642171805868</v>
      </c>
      <c r="D11" s="94">
        <f>'Emission Removal'!K36</f>
        <v>31363.998399999993</v>
      </c>
      <c r="E11" s="94">
        <f>'Emission Removal'!O36</f>
        <v>14492.012266717415</v>
      </c>
      <c r="F11" s="470">
        <f>'Emission Removal'!P36</f>
        <v>216787.60777323548</v>
      </c>
      <c r="G11" s="472">
        <f>'Emission Removal'!N36</f>
        <v>10743.007655065654</v>
      </c>
    </row>
    <row r="12" spans="1:7" ht="16" thickBot="1" x14ac:dyDescent="0.25">
      <c r="A12" s="10">
        <v>2024</v>
      </c>
      <c r="B12" s="94">
        <f>'Emission Removal'!I37</f>
        <v>442.14150221791044</v>
      </c>
      <c r="C12" s="94">
        <f>'Emission Removal'!J37</f>
        <v>91.971642171805868</v>
      </c>
      <c r="D12" s="94">
        <f>'Emission Removal'!K37</f>
        <v>31363.998399999993</v>
      </c>
      <c r="E12" s="94">
        <f>'Emission Removal'!O37</f>
        <v>14492.012266717415</v>
      </c>
      <c r="F12" s="470">
        <f>'Emission Removal'!P37</f>
        <v>216787.60777323548</v>
      </c>
      <c r="G12" s="472">
        <f>'Emission Removal'!N37</f>
        <v>10743.007655065654</v>
      </c>
    </row>
    <row r="13" spans="1:7" ht="16" thickBot="1" x14ac:dyDescent="0.25">
      <c r="A13" s="10">
        <v>2025</v>
      </c>
      <c r="B13" s="94">
        <f>'Emission Removal'!I38</f>
        <v>442.14150221791044</v>
      </c>
      <c r="C13" s="94">
        <f>'Emission Removal'!J38</f>
        <v>91.971642171805868</v>
      </c>
      <c r="D13" s="94">
        <f>'Emission Removal'!K38</f>
        <v>31363.998399999993</v>
      </c>
      <c r="E13" s="94">
        <f>'Emission Removal'!O38</f>
        <v>14492.012266717415</v>
      </c>
      <c r="F13" s="470">
        <f>'Emission Removal'!P38</f>
        <v>216787.60777323548</v>
      </c>
      <c r="G13" s="472">
        <f>'Emission Removal'!N38</f>
        <v>10743.007655065654</v>
      </c>
    </row>
    <row r="14" spans="1:7" ht="16" thickBot="1" x14ac:dyDescent="0.25">
      <c r="A14" s="10">
        <v>2026</v>
      </c>
      <c r="B14" s="94">
        <f>'Emission Removal'!I39</f>
        <v>442.14150221791044</v>
      </c>
      <c r="C14" s="94">
        <f>'Emission Removal'!J39</f>
        <v>91.971642171805868</v>
      </c>
      <c r="D14" s="94">
        <f>'Emission Removal'!K39</f>
        <v>31363.998399999993</v>
      </c>
      <c r="E14" s="94">
        <f>'Emission Removal'!O39</f>
        <v>14492.012266717415</v>
      </c>
      <c r="F14" s="470">
        <f>'Emission Removal'!P39</f>
        <v>216787.60777323548</v>
      </c>
      <c r="G14" s="472">
        <f>'Emission Removal'!N39</f>
        <v>10743.007655065654</v>
      </c>
    </row>
    <row r="15" spans="1:7" ht="16" thickBot="1" x14ac:dyDescent="0.25">
      <c r="A15" s="10">
        <v>2027</v>
      </c>
      <c r="B15" s="94">
        <f>'Emission Removal'!I40</f>
        <v>442.14150221791044</v>
      </c>
      <c r="C15" s="94">
        <f>'Emission Removal'!J40</f>
        <v>91.971642171805868</v>
      </c>
      <c r="D15" s="94">
        <f>'Emission Removal'!K40</f>
        <v>31363.998399999993</v>
      </c>
      <c r="E15" s="94">
        <f>'Emission Removal'!O40</f>
        <v>14492.012266717415</v>
      </c>
      <c r="F15" s="470">
        <f>'Emission Removal'!P40</f>
        <v>216787.60777323548</v>
      </c>
      <c r="G15" s="472">
        <f>'Emission Removal'!N40</f>
        <v>10743.007655065654</v>
      </c>
    </row>
    <row r="16" spans="1:7" ht="16" thickBot="1" x14ac:dyDescent="0.25">
      <c r="A16" s="10">
        <v>2028</v>
      </c>
      <c r="B16" s="94">
        <f>'Emission Removal'!I41</f>
        <v>442.14150221791044</v>
      </c>
      <c r="C16" s="94">
        <f>'Emission Removal'!J41</f>
        <v>91.971642171805868</v>
      </c>
      <c r="D16" s="94">
        <f>'Emission Removal'!K41</f>
        <v>31363.998399999993</v>
      </c>
      <c r="E16" s="94">
        <f>'Emission Removal'!O41</f>
        <v>14492.012266717415</v>
      </c>
      <c r="F16" s="470">
        <f>'Emission Removal'!P41</f>
        <v>216787.60777323548</v>
      </c>
      <c r="G16" s="472">
        <f>'Emission Removal'!N41</f>
        <v>10743.007655065654</v>
      </c>
    </row>
    <row r="17" spans="1:7" ht="16" thickBot="1" x14ac:dyDescent="0.25">
      <c r="A17" s="10">
        <v>2029</v>
      </c>
      <c r="B17" s="94">
        <f>'Emission Removal'!I42</f>
        <v>442.14150221791044</v>
      </c>
      <c r="C17" s="94">
        <f>'Emission Removal'!J42</f>
        <v>91.971642171805868</v>
      </c>
      <c r="D17" s="94">
        <f>'Emission Removal'!K42</f>
        <v>31363.998399999993</v>
      </c>
      <c r="E17" s="94">
        <f>'Emission Removal'!O42</f>
        <v>14492.012266717415</v>
      </c>
      <c r="F17" s="470">
        <f>'Emission Removal'!P42</f>
        <v>216787.60777323548</v>
      </c>
      <c r="G17" s="472">
        <f>'Emission Removal'!N42</f>
        <v>10743.007655065654</v>
      </c>
    </row>
    <row r="18" spans="1:7" ht="16" thickBot="1" x14ac:dyDescent="0.25">
      <c r="A18" s="10">
        <v>2030</v>
      </c>
      <c r="B18" s="94">
        <f>'Emission Removal'!I43</f>
        <v>442.14150221791044</v>
      </c>
      <c r="C18" s="94">
        <f>'Emission Removal'!J43</f>
        <v>91.971642171805868</v>
      </c>
      <c r="D18" s="94">
        <f>'Emission Removal'!K43</f>
        <v>31363.998399999993</v>
      </c>
      <c r="E18" s="94">
        <f>'Emission Removal'!O43</f>
        <v>14492.012266717415</v>
      </c>
      <c r="F18" s="470">
        <f>'Emission Removal'!P43</f>
        <v>216787.60777323548</v>
      </c>
      <c r="G18" s="472">
        <f>'Emission Removal'!N43</f>
        <v>10743.007655065654</v>
      </c>
    </row>
    <row r="19" spans="1:7" ht="16" thickBot="1" x14ac:dyDescent="0.25">
      <c r="A19" s="10">
        <v>2031</v>
      </c>
      <c r="B19" s="94">
        <f>'Emission Removal'!I44</f>
        <v>442.14150221791044</v>
      </c>
      <c r="C19" s="94">
        <f>'Emission Removal'!J44</f>
        <v>91.971642171805868</v>
      </c>
      <c r="D19" s="94">
        <f>'Emission Removal'!K44</f>
        <v>31363.998399999993</v>
      </c>
      <c r="E19" s="94">
        <f>'Emission Removal'!O44</f>
        <v>14492.012266717415</v>
      </c>
      <c r="F19" s="470">
        <f>'Emission Removal'!P44</f>
        <v>216787.60777323548</v>
      </c>
      <c r="G19" s="472">
        <f>'Emission Removal'!N44</f>
        <v>10743.007655065654</v>
      </c>
    </row>
    <row r="20" spans="1:7" ht="16" thickBot="1" x14ac:dyDescent="0.25">
      <c r="A20" s="10">
        <v>2032</v>
      </c>
      <c r="B20" s="94">
        <f>'Emission Removal'!I45</f>
        <v>442.14150221791044</v>
      </c>
      <c r="C20" s="94">
        <f>'Emission Removal'!J45</f>
        <v>91.971642171805868</v>
      </c>
      <c r="D20" s="94">
        <f>'Emission Removal'!K45</f>
        <v>31363.998399999993</v>
      </c>
      <c r="E20" s="94">
        <f>'Emission Removal'!O45</f>
        <v>14492.012266717415</v>
      </c>
      <c r="F20" s="470">
        <f>'Emission Removal'!P45</f>
        <v>216787.60777323548</v>
      </c>
      <c r="G20" s="472">
        <f>'Emission Removal'!N45</f>
        <v>10743.007655065654</v>
      </c>
    </row>
    <row r="21" spans="1:7" ht="16" thickBot="1" x14ac:dyDescent="0.25">
      <c r="A21" s="10">
        <v>2033</v>
      </c>
      <c r="B21" s="94">
        <f>'Emission Removal'!I46</f>
        <v>442.14150221791044</v>
      </c>
      <c r="C21" s="94">
        <f>'Emission Removal'!J46</f>
        <v>91.971642171805868</v>
      </c>
      <c r="D21" s="94">
        <f>'Emission Removal'!K46</f>
        <v>31363.998399999993</v>
      </c>
      <c r="E21" s="94">
        <f>'Emission Removal'!O46</f>
        <v>14492.012266717415</v>
      </c>
      <c r="F21" s="470">
        <f>'Emission Removal'!P46</f>
        <v>216787.60777323548</v>
      </c>
      <c r="G21" s="472">
        <f>'Emission Removal'!N46</f>
        <v>10743.007655065654</v>
      </c>
    </row>
    <row r="22" spans="1:7" ht="16" thickBot="1" x14ac:dyDescent="0.25">
      <c r="A22" s="10">
        <v>2034</v>
      </c>
      <c r="B22" s="94">
        <f>'Emission Removal'!I47</f>
        <v>442.14150221791044</v>
      </c>
      <c r="C22" s="94">
        <f>'Emission Removal'!J47</f>
        <v>91.971642171805868</v>
      </c>
      <c r="D22" s="94">
        <f>'Emission Removal'!K47</f>
        <v>31363.998399999993</v>
      </c>
      <c r="E22" s="94">
        <f>'Emission Removal'!O47</f>
        <v>14492.012266717415</v>
      </c>
      <c r="F22" s="470">
        <f>'Emission Removal'!P47</f>
        <v>216787.60777323548</v>
      </c>
      <c r="G22" s="472">
        <f>'Emission Removal'!N47</f>
        <v>10743.007655065654</v>
      </c>
    </row>
    <row r="23" spans="1:7" ht="16" thickBot="1" x14ac:dyDescent="0.25">
      <c r="A23" s="10">
        <v>2035</v>
      </c>
      <c r="B23" s="94">
        <f>'Emission Removal'!I48</f>
        <v>442.14150221791044</v>
      </c>
      <c r="C23" s="94">
        <f>'Emission Removal'!J48</f>
        <v>91.971642171805868</v>
      </c>
      <c r="D23" s="94">
        <f>'Emission Removal'!K48</f>
        <v>31363.998399999993</v>
      </c>
      <c r="E23" s="94">
        <f>'Emission Removal'!O48</f>
        <v>14492.012266717415</v>
      </c>
      <c r="F23" s="470">
        <f>'Emission Removal'!P48</f>
        <v>216787.60777323548</v>
      </c>
      <c r="G23" s="472">
        <f>'Emission Removal'!N48</f>
        <v>10743.007655065654</v>
      </c>
    </row>
    <row r="24" spans="1:7" ht="16" thickBot="1" x14ac:dyDescent="0.25">
      <c r="A24" s="10">
        <v>2036</v>
      </c>
      <c r="B24" s="94">
        <f>'Emission Removal'!I49</f>
        <v>442.14150221791044</v>
      </c>
      <c r="C24" s="94">
        <f>'Emission Removal'!J49</f>
        <v>91.971642171805868</v>
      </c>
      <c r="D24" s="94">
        <f>'Emission Removal'!K49</f>
        <v>31363.998399999993</v>
      </c>
      <c r="E24" s="94">
        <f>'Emission Removal'!O49</f>
        <v>14492.012266717415</v>
      </c>
      <c r="F24" s="470">
        <f>'Emission Removal'!P49</f>
        <v>216787.60777323548</v>
      </c>
      <c r="G24" s="472">
        <f>'Emission Removal'!N49</f>
        <v>10743.007655065654</v>
      </c>
    </row>
    <row r="25" spans="1:7" ht="16" thickBot="1" x14ac:dyDescent="0.25">
      <c r="A25" s="10">
        <v>2037</v>
      </c>
      <c r="B25" s="94">
        <f>'Emission Removal'!I50</f>
        <v>442.14150221791044</v>
      </c>
      <c r="C25" s="94">
        <f>'Emission Removal'!J50</f>
        <v>91.971642171805868</v>
      </c>
      <c r="D25" s="94">
        <f>'Emission Removal'!K50</f>
        <v>31363.998399999993</v>
      </c>
      <c r="E25" s="94">
        <f>'Emission Removal'!O50</f>
        <v>14492.012266717415</v>
      </c>
      <c r="F25" s="470">
        <f>'Emission Removal'!P50</f>
        <v>216787.60777323548</v>
      </c>
      <c r="G25" s="472">
        <f>'Emission Removal'!N50</f>
        <v>10743.007655065654</v>
      </c>
    </row>
    <row r="26" spans="1:7" ht="16" thickBot="1" x14ac:dyDescent="0.25">
      <c r="A26" s="10">
        <v>2038</v>
      </c>
      <c r="B26" s="94">
        <f>'Emission Removal'!I51</f>
        <v>219.25373123682684</v>
      </c>
      <c r="C26" s="94">
        <f>'Emission Removal'!J51</f>
        <v>45.607855433142085</v>
      </c>
      <c r="D26" s="94">
        <f>'Emission Removal'!K51</f>
        <v>15553.106055890406</v>
      </c>
      <c r="E26" s="94">
        <f>'Emission Removal'!O51</f>
        <v>7186.4499185639779</v>
      </c>
      <c r="F26" s="470">
        <f>'Emission Removal'!P51</f>
        <v>107502.89590946746</v>
      </c>
      <c r="G26" s="472">
        <f>'Emission Removal'!N51</f>
        <v>5327.3544810051599</v>
      </c>
    </row>
    <row r="27" spans="1:7" ht="16" thickBot="1" x14ac:dyDescent="0.25">
      <c r="A27" s="93" t="s">
        <v>361</v>
      </c>
      <c r="B27" s="94">
        <f>SUM(B6:B26)</f>
        <v>8842.830044358212</v>
      </c>
      <c r="C27" s="94">
        <f t="shared" ref="C27:G27" si="0">SUM(C6:C26)</f>
        <v>1839.4328434361169</v>
      </c>
      <c r="D27" s="94">
        <f t="shared" si="0"/>
        <v>627279.96799999988</v>
      </c>
      <c r="E27" s="94">
        <f t="shared" si="0"/>
        <v>289840.24533434835</v>
      </c>
      <c r="F27" s="470">
        <f t="shared" si="0"/>
        <v>4335752.1554647107</v>
      </c>
      <c r="G27" s="473">
        <f t="shared" si="0"/>
        <v>214860.15310131307</v>
      </c>
    </row>
    <row r="28" spans="1:7" x14ac:dyDescent="0.2">
      <c r="E28" s="53">
        <f>E27+F27-B27-C27-D27</f>
        <v>3987630.1699112649</v>
      </c>
    </row>
    <row r="29" spans="1:7" x14ac:dyDescent="0.2">
      <c r="E29">
        <f>E28/20</f>
        <v>199381.50849556323</v>
      </c>
    </row>
  </sheetData>
  <mergeCells count="1">
    <mergeCell ref="A1:F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37428-F8DE-9240-ACE5-1CBA19994B56}">
  <dimension ref="A2:S70"/>
  <sheetViews>
    <sheetView tabSelected="1" topLeftCell="A34" workbookViewId="0">
      <selection activeCell="C56" sqref="C56"/>
    </sheetView>
  </sheetViews>
  <sheetFormatPr baseColWidth="10" defaultColWidth="8.83203125" defaultRowHeight="15" x14ac:dyDescent="0.2"/>
  <cols>
    <col min="1" max="1" width="10.33203125" customWidth="1"/>
    <col min="2" max="2" width="39.33203125" customWidth="1"/>
    <col min="3" max="3" width="14.33203125" customWidth="1"/>
    <col min="5" max="5" width="19.5" customWidth="1"/>
    <col min="6" max="6" width="24.1640625" customWidth="1"/>
    <col min="7" max="7" width="11" bestFit="1" customWidth="1"/>
    <col min="13" max="13" width="23" customWidth="1"/>
    <col min="14" max="14" width="21.6640625" customWidth="1"/>
  </cols>
  <sheetData>
    <row r="2" spans="1:3" x14ac:dyDescent="0.2">
      <c r="A2" s="108" t="s">
        <v>421</v>
      </c>
    </row>
    <row r="4" spans="1:3" hidden="1" x14ac:dyDescent="0.2"/>
    <row r="8" spans="1:3" x14ac:dyDescent="0.2">
      <c r="A8" s="11" t="s">
        <v>144</v>
      </c>
      <c r="B8" t="s">
        <v>422</v>
      </c>
    </row>
    <row r="9" spans="1:3" ht="17" x14ac:dyDescent="0.25">
      <c r="A9" s="11" t="s">
        <v>423</v>
      </c>
      <c r="B9" t="s">
        <v>424</v>
      </c>
    </row>
    <row r="10" spans="1:3" x14ac:dyDescent="0.2">
      <c r="A10" s="11" t="s">
        <v>420</v>
      </c>
      <c r="B10" t="s">
        <v>425</v>
      </c>
    </row>
    <row r="11" spans="1:3" ht="17" x14ac:dyDescent="0.25">
      <c r="A11" s="11" t="s">
        <v>426</v>
      </c>
      <c r="B11" t="s">
        <v>427</v>
      </c>
    </row>
    <row r="12" spans="1:3" ht="17" x14ac:dyDescent="0.25">
      <c r="A12" s="11" t="s">
        <v>428</v>
      </c>
      <c r="B12" t="s">
        <v>429</v>
      </c>
    </row>
    <row r="13" spans="1:3" ht="17" x14ac:dyDescent="0.25">
      <c r="A13" s="11" t="s">
        <v>430</v>
      </c>
      <c r="B13" t="s">
        <v>431</v>
      </c>
      <c r="C13" s="110"/>
    </row>
    <row r="14" spans="1:3" x14ac:dyDescent="0.2">
      <c r="A14" s="11" t="s">
        <v>418</v>
      </c>
      <c r="B14" t="s">
        <v>432</v>
      </c>
      <c r="C14" s="110"/>
    </row>
    <row r="15" spans="1:3" x14ac:dyDescent="0.2">
      <c r="A15" s="11" t="s">
        <v>433</v>
      </c>
      <c r="B15" t="s">
        <v>434</v>
      </c>
    </row>
    <row r="18" spans="1:17" ht="83" customHeight="1" x14ac:dyDescent="0.2">
      <c r="A18" s="43" t="s">
        <v>435</v>
      </c>
      <c r="B18" s="43" t="s">
        <v>414</v>
      </c>
      <c r="C18" s="43" t="s">
        <v>122</v>
      </c>
      <c r="D18" s="43" t="s">
        <v>123</v>
      </c>
      <c r="E18" s="43" t="s">
        <v>124</v>
      </c>
      <c r="F18" s="43" t="s">
        <v>136</v>
      </c>
      <c r="G18" s="41"/>
      <c r="H18" s="41"/>
    </row>
    <row r="19" spans="1:17" x14ac:dyDescent="0.2">
      <c r="A19" s="49">
        <v>1</v>
      </c>
      <c r="B19" s="38">
        <v>30</v>
      </c>
      <c r="C19" s="45">
        <v>1.9</v>
      </c>
      <c r="D19" s="45">
        <v>1.42</v>
      </c>
      <c r="E19" s="88">
        <v>24.1</v>
      </c>
      <c r="F19" s="38">
        <f>C19*D19*B19*(1-E19%)*0.1</f>
        <v>6.1433460000000002</v>
      </c>
      <c r="G19" s="41"/>
      <c r="H19" s="41"/>
    </row>
    <row r="20" spans="1:17" x14ac:dyDescent="0.2">
      <c r="A20" s="49">
        <v>2</v>
      </c>
      <c r="B20" s="38">
        <v>30</v>
      </c>
      <c r="C20" s="45">
        <v>0.8</v>
      </c>
      <c r="D20" s="45">
        <v>1.59</v>
      </c>
      <c r="E20" s="88">
        <v>12.03</v>
      </c>
      <c r="F20" s="38">
        <f t="shared" ref="F20:F23" si="0">C20*D20*B20*(1-E20%)*0.1</f>
        <v>3.356935200000001</v>
      </c>
      <c r="G20" s="41"/>
      <c r="H20" s="41"/>
    </row>
    <row r="21" spans="1:17" x14ac:dyDescent="0.2">
      <c r="A21" s="49">
        <v>3</v>
      </c>
      <c r="B21" s="38">
        <v>30</v>
      </c>
      <c r="C21" s="45">
        <v>1.1000000000000001</v>
      </c>
      <c r="D21" s="45">
        <v>1.4</v>
      </c>
      <c r="E21" s="88">
        <v>9.51</v>
      </c>
      <c r="F21" s="38">
        <f t="shared" si="0"/>
        <v>4.180638000000001</v>
      </c>
      <c r="G21" s="41"/>
      <c r="H21" s="41"/>
    </row>
    <row r="22" spans="1:17" x14ac:dyDescent="0.2">
      <c r="A22" s="49">
        <v>4</v>
      </c>
      <c r="B22" s="38">
        <v>30</v>
      </c>
      <c r="C22" s="45">
        <v>0.5</v>
      </c>
      <c r="D22" s="45">
        <v>1.53</v>
      </c>
      <c r="E22" s="88">
        <v>9.17</v>
      </c>
      <c r="F22" s="38">
        <f t="shared" si="0"/>
        <v>2.0845484999999999</v>
      </c>
      <c r="G22" s="41"/>
      <c r="H22" s="41"/>
      <c r="O22" s="111"/>
      <c r="P22" s="81"/>
      <c r="Q22" s="81"/>
    </row>
    <row r="23" spans="1:17" x14ac:dyDescent="0.2">
      <c r="A23" s="49">
        <v>5</v>
      </c>
      <c r="B23" s="38">
        <v>30</v>
      </c>
      <c r="C23" s="95">
        <v>0.9</v>
      </c>
      <c r="D23" s="96">
        <v>1.4</v>
      </c>
      <c r="E23" s="88">
        <v>1.93</v>
      </c>
      <c r="F23" s="38">
        <f t="shared" si="0"/>
        <v>3.7070460000000001</v>
      </c>
      <c r="G23" s="41"/>
      <c r="H23" s="41"/>
      <c r="O23" s="111"/>
      <c r="P23" s="81"/>
      <c r="Q23" s="81"/>
    </row>
    <row r="24" spans="1:17" x14ac:dyDescent="0.2">
      <c r="A24" s="49">
        <v>6</v>
      </c>
      <c r="B24" s="40">
        <v>30</v>
      </c>
      <c r="C24" s="40">
        <v>0.7</v>
      </c>
      <c r="D24" s="38">
        <v>1.53</v>
      </c>
      <c r="E24" s="88">
        <v>44.13</v>
      </c>
      <c r="F24" s="38">
        <f>C24*D24*B24*(1-E24%)*0.1</f>
        <v>1.7951030999999997</v>
      </c>
      <c r="G24" s="41"/>
      <c r="H24" s="41"/>
      <c r="O24" s="111"/>
      <c r="P24" s="81"/>
      <c r="Q24" s="81"/>
    </row>
    <row r="25" spans="1:17" x14ac:dyDescent="0.2">
      <c r="A25" s="49">
        <v>7</v>
      </c>
      <c r="B25" s="40">
        <v>30</v>
      </c>
      <c r="C25" s="40">
        <v>1.1000000000000001</v>
      </c>
      <c r="D25" s="38">
        <v>1.52</v>
      </c>
      <c r="E25" s="88">
        <v>2.59</v>
      </c>
      <c r="F25" s="38">
        <f t="shared" ref="F25:F40" si="1">C25*D25*B25*(1-E25%)*0.1</f>
        <v>4.8860856000000013</v>
      </c>
      <c r="G25" s="41"/>
      <c r="H25" s="41"/>
      <c r="O25" s="111"/>
      <c r="P25" s="81"/>
      <c r="Q25" s="81"/>
    </row>
    <row r="26" spans="1:17" x14ac:dyDescent="0.2">
      <c r="A26" s="49">
        <v>8</v>
      </c>
      <c r="B26" s="40">
        <v>30</v>
      </c>
      <c r="C26" s="40">
        <v>0.7</v>
      </c>
      <c r="D26" s="38">
        <v>1.5</v>
      </c>
      <c r="E26" s="88">
        <v>22.55</v>
      </c>
      <c r="F26" s="38">
        <f t="shared" si="1"/>
        <v>2.4396749999999994</v>
      </c>
      <c r="G26" s="41"/>
      <c r="H26" s="41"/>
      <c r="O26" s="111"/>
      <c r="P26" s="81"/>
      <c r="Q26" s="81"/>
    </row>
    <row r="27" spans="1:17" x14ac:dyDescent="0.2">
      <c r="A27" s="49">
        <v>9</v>
      </c>
      <c r="B27" s="40">
        <v>30</v>
      </c>
      <c r="C27" s="40">
        <v>0.9</v>
      </c>
      <c r="D27" s="38">
        <v>1.54</v>
      </c>
      <c r="E27" s="88">
        <v>11.14</v>
      </c>
      <c r="F27" s="38">
        <f t="shared" si="1"/>
        <v>3.6947988000000009</v>
      </c>
      <c r="G27" s="41"/>
      <c r="H27" s="41"/>
      <c r="O27" s="111"/>
      <c r="P27" s="81"/>
      <c r="Q27" s="81"/>
    </row>
    <row r="28" spans="1:17" x14ac:dyDescent="0.2">
      <c r="A28" s="49">
        <v>10</v>
      </c>
      <c r="B28" s="40">
        <v>30</v>
      </c>
      <c r="C28" s="95">
        <v>1</v>
      </c>
      <c r="D28" s="96">
        <v>1.5</v>
      </c>
      <c r="E28" s="88">
        <v>22.55</v>
      </c>
      <c r="F28" s="38">
        <f t="shared" si="1"/>
        <v>3.4852500000000002</v>
      </c>
      <c r="G28" s="41"/>
      <c r="H28" s="41"/>
      <c r="O28" s="111"/>
      <c r="P28" s="81"/>
      <c r="Q28" s="81"/>
    </row>
    <row r="29" spans="1:17" x14ac:dyDescent="0.2">
      <c r="A29" s="49">
        <v>11</v>
      </c>
      <c r="B29" s="40">
        <v>30</v>
      </c>
      <c r="C29" s="40">
        <v>1.1000000000000001</v>
      </c>
      <c r="D29" s="38">
        <v>1.45</v>
      </c>
      <c r="E29" s="88">
        <v>16.27</v>
      </c>
      <c r="F29" s="38">
        <f t="shared" si="1"/>
        <v>4.0064805000000003</v>
      </c>
      <c r="G29" s="41"/>
      <c r="H29" s="41"/>
      <c r="O29" s="111"/>
      <c r="P29" s="81"/>
      <c r="Q29" s="81"/>
    </row>
    <row r="30" spans="1:17" x14ac:dyDescent="0.2">
      <c r="A30" s="49">
        <v>12</v>
      </c>
      <c r="B30" s="40">
        <v>30</v>
      </c>
      <c r="C30" s="40">
        <v>0.8</v>
      </c>
      <c r="D30" s="38">
        <v>1.4</v>
      </c>
      <c r="E30" s="88">
        <v>12.6</v>
      </c>
      <c r="F30" s="38">
        <f t="shared" si="1"/>
        <v>2.9366399999999997</v>
      </c>
      <c r="G30" s="41"/>
      <c r="H30" s="41"/>
      <c r="O30" s="111"/>
      <c r="P30" s="81"/>
      <c r="Q30" s="81"/>
    </row>
    <row r="31" spans="1:17" x14ac:dyDescent="0.2">
      <c r="A31" s="49">
        <v>13</v>
      </c>
      <c r="B31" s="40">
        <v>30</v>
      </c>
      <c r="C31" s="45">
        <v>1.3</v>
      </c>
      <c r="D31" s="45">
        <v>1.42</v>
      </c>
      <c r="E31" s="88">
        <v>30.99</v>
      </c>
      <c r="F31" s="38">
        <f t="shared" si="1"/>
        <v>3.821773799999999</v>
      </c>
      <c r="G31" s="41"/>
      <c r="H31" s="41"/>
      <c r="O31" s="111"/>
      <c r="P31" s="81"/>
      <c r="Q31" s="81"/>
    </row>
    <row r="32" spans="1:17" x14ac:dyDescent="0.2">
      <c r="A32" s="49">
        <v>14</v>
      </c>
      <c r="B32" s="40">
        <v>30</v>
      </c>
      <c r="C32" s="45">
        <v>0.8</v>
      </c>
      <c r="D32" s="45">
        <v>1.53</v>
      </c>
      <c r="E32" s="88">
        <v>2.31</v>
      </c>
      <c r="F32" s="38">
        <f t="shared" si="1"/>
        <v>3.5871768000000004</v>
      </c>
      <c r="G32" s="41"/>
      <c r="H32" s="41"/>
      <c r="O32" s="111"/>
      <c r="P32" s="81"/>
      <c r="Q32" s="81"/>
    </row>
    <row r="33" spans="1:18" x14ac:dyDescent="0.2">
      <c r="A33" s="49">
        <v>15</v>
      </c>
      <c r="B33" s="40">
        <v>30</v>
      </c>
      <c r="C33" s="45">
        <v>2.1</v>
      </c>
      <c r="D33" s="45">
        <v>1.42</v>
      </c>
      <c r="E33" s="88">
        <v>4.9400000000000004</v>
      </c>
      <c r="F33" s="38">
        <f t="shared" si="1"/>
        <v>8.5040675999999991</v>
      </c>
      <c r="G33" s="41"/>
      <c r="H33" s="41"/>
      <c r="O33" s="111"/>
      <c r="P33" s="81"/>
      <c r="Q33" s="81"/>
    </row>
    <row r="34" spans="1:18" x14ac:dyDescent="0.2">
      <c r="A34" s="49">
        <v>16</v>
      </c>
      <c r="B34" s="40">
        <v>30</v>
      </c>
      <c r="C34" s="45">
        <v>0.5</v>
      </c>
      <c r="D34" s="45">
        <v>1.54</v>
      </c>
      <c r="E34" s="88">
        <v>19.13</v>
      </c>
      <c r="F34" s="38">
        <f t="shared" si="1"/>
        <v>1.8680970000000003</v>
      </c>
      <c r="G34" s="41"/>
      <c r="H34" s="41"/>
      <c r="O34" s="111"/>
      <c r="P34" s="81"/>
      <c r="Q34" s="81"/>
    </row>
    <row r="35" spans="1:18" x14ac:dyDescent="0.2">
      <c r="A35" s="49">
        <v>17</v>
      </c>
      <c r="B35" s="40">
        <v>30</v>
      </c>
      <c r="C35" s="45">
        <v>0.9</v>
      </c>
      <c r="D35" s="45">
        <v>1.49</v>
      </c>
      <c r="E35" s="88">
        <v>34.630000000000003</v>
      </c>
      <c r="F35" s="38">
        <f t="shared" si="1"/>
        <v>2.6298350999999998</v>
      </c>
      <c r="G35" s="41"/>
      <c r="H35" s="41"/>
      <c r="O35" s="111"/>
      <c r="P35" s="81"/>
      <c r="Q35" s="81"/>
    </row>
    <row r="36" spans="1:18" x14ac:dyDescent="0.2">
      <c r="A36" s="49">
        <v>18</v>
      </c>
      <c r="B36" s="40">
        <v>30</v>
      </c>
      <c r="C36" s="45">
        <v>1.1000000000000001</v>
      </c>
      <c r="D36" s="45">
        <v>1.53</v>
      </c>
      <c r="E36" s="88">
        <v>5.51</v>
      </c>
      <c r="F36" s="38">
        <f t="shared" si="1"/>
        <v>4.7708001000000015</v>
      </c>
      <c r="G36" s="41"/>
      <c r="H36" s="41"/>
      <c r="O36" s="111"/>
      <c r="P36" s="81"/>
      <c r="Q36" s="81"/>
    </row>
    <row r="37" spans="1:18" x14ac:dyDescent="0.2">
      <c r="A37" s="49">
        <v>19</v>
      </c>
      <c r="B37" s="40">
        <v>30</v>
      </c>
      <c r="C37" s="45">
        <v>0.6</v>
      </c>
      <c r="D37" s="45">
        <v>1.53</v>
      </c>
      <c r="E37" s="88">
        <v>10.58</v>
      </c>
      <c r="F37" s="38">
        <f t="shared" si="1"/>
        <v>2.4626268000000002</v>
      </c>
      <c r="G37" s="41"/>
      <c r="H37" s="41"/>
      <c r="O37" s="111"/>
      <c r="P37" s="81"/>
      <c r="Q37" s="81"/>
    </row>
    <row r="38" spans="1:18" x14ac:dyDescent="0.2">
      <c r="A38" s="49">
        <v>20</v>
      </c>
      <c r="B38" s="40">
        <v>30</v>
      </c>
      <c r="C38" s="45">
        <v>0.71</v>
      </c>
      <c r="D38" s="45">
        <v>1.53</v>
      </c>
      <c r="E38" s="88">
        <v>25.51</v>
      </c>
      <c r="F38" s="38">
        <f t="shared" si="1"/>
        <v>2.4275546100000001</v>
      </c>
      <c r="G38" s="41"/>
      <c r="H38" s="41"/>
      <c r="O38" s="111"/>
      <c r="P38" s="81"/>
      <c r="Q38" s="81"/>
    </row>
    <row r="39" spans="1:18" x14ac:dyDescent="0.2">
      <c r="A39" s="49">
        <v>21</v>
      </c>
      <c r="B39" s="40">
        <v>30</v>
      </c>
      <c r="C39" s="40">
        <v>0.8</v>
      </c>
      <c r="D39" s="38">
        <v>1.4</v>
      </c>
      <c r="E39" s="88">
        <v>12.6</v>
      </c>
      <c r="F39" s="38">
        <f t="shared" si="1"/>
        <v>2.9366399999999997</v>
      </c>
      <c r="G39" s="41"/>
      <c r="H39" s="41"/>
      <c r="O39" s="111"/>
      <c r="P39" s="81"/>
      <c r="Q39" s="81"/>
    </row>
    <row r="40" spans="1:18" x14ac:dyDescent="0.2">
      <c r="A40" s="49">
        <v>22</v>
      </c>
      <c r="B40" s="40">
        <v>30</v>
      </c>
      <c r="C40" s="40">
        <v>1.1000000000000001</v>
      </c>
      <c r="D40" s="38">
        <v>1.52</v>
      </c>
      <c r="E40" s="88">
        <v>2.59</v>
      </c>
      <c r="F40" s="38">
        <f t="shared" si="1"/>
        <v>4.8860856000000013</v>
      </c>
      <c r="G40" s="41"/>
      <c r="H40" s="41"/>
      <c r="O40" s="111"/>
      <c r="P40" s="81"/>
      <c r="Q40" s="81"/>
    </row>
    <row r="41" spans="1:18" x14ac:dyDescent="0.2">
      <c r="A41" s="50"/>
      <c r="B41" s="50"/>
      <c r="C41" s="44"/>
      <c r="D41" s="44"/>
      <c r="E41" s="44"/>
      <c r="F41" s="112"/>
      <c r="G41" s="42"/>
      <c r="H41" s="42"/>
      <c r="O41" s="111"/>
      <c r="P41" s="81"/>
      <c r="Q41" s="81"/>
    </row>
    <row r="42" spans="1:18" x14ac:dyDescent="0.2">
      <c r="A42" s="41"/>
      <c r="B42" s="47"/>
      <c r="C42" s="46"/>
      <c r="D42" s="46"/>
      <c r="E42" s="41"/>
      <c r="F42" s="49">
        <f>_xlfn.STDEV.P(F19:F23,F24:F28,F29:F33,F34:F40)</f>
        <v>1.5096782657683516</v>
      </c>
      <c r="G42" s="49">
        <f>AVERAGE(F19:F23,F24:F28,F29:F33,F34:F40)</f>
        <v>3.664145641363636</v>
      </c>
      <c r="H42" s="49">
        <f>G42*15%</f>
        <v>0.54962184620454535</v>
      </c>
      <c r="O42" s="111"/>
      <c r="P42" s="81"/>
      <c r="Q42" s="81"/>
    </row>
    <row r="43" spans="1:18" x14ac:dyDescent="0.2">
      <c r="A43" s="41"/>
      <c r="B43" s="47"/>
      <c r="C43" s="46"/>
      <c r="D43" s="46"/>
      <c r="E43" s="41"/>
      <c r="F43" s="113" t="s">
        <v>436</v>
      </c>
      <c r="G43" s="113" t="s">
        <v>448</v>
      </c>
      <c r="H43" s="113" t="s">
        <v>418</v>
      </c>
      <c r="O43" s="111"/>
      <c r="P43" s="81"/>
      <c r="Q43" s="81"/>
    </row>
    <row r="44" spans="1:18" x14ac:dyDescent="0.2">
      <c r="A44" s="41"/>
      <c r="B44" s="47"/>
      <c r="C44" s="46"/>
      <c r="D44" s="46"/>
      <c r="E44" s="41"/>
      <c r="F44" s="120"/>
      <c r="G44" s="120"/>
      <c r="H44" s="120"/>
      <c r="O44" s="111"/>
      <c r="P44" s="81"/>
      <c r="Q44" s="81"/>
    </row>
    <row r="45" spans="1:18" x14ac:dyDescent="0.2">
      <c r="A45" s="499" t="s">
        <v>8</v>
      </c>
      <c r="B45" s="499" t="s">
        <v>31</v>
      </c>
      <c r="C45" s="499" t="s">
        <v>32</v>
      </c>
      <c r="D45" s="499" t="s">
        <v>33</v>
      </c>
      <c r="E45" s="499" t="s">
        <v>418</v>
      </c>
      <c r="F45" s="499" t="s">
        <v>438</v>
      </c>
      <c r="G45" s="499" t="s">
        <v>439</v>
      </c>
      <c r="H45" s="499" t="s">
        <v>440</v>
      </c>
      <c r="I45" s="499" t="s">
        <v>419</v>
      </c>
      <c r="J45" s="499" t="s">
        <v>441</v>
      </c>
      <c r="K45" s="499" t="s">
        <v>442</v>
      </c>
      <c r="L45" s="499" t="s">
        <v>420</v>
      </c>
      <c r="M45" s="499"/>
      <c r="N45" s="499"/>
      <c r="O45" s="499" t="s">
        <v>144</v>
      </c>
      <c r="P45" s="499" t="s">
        <v>443</v>
      </c>
      <c r="Q45" s="499" t="s">
        <v>444</v>
      </c>
      <c r="R45" s="499" t="s">
        <v>445</v>
      </c>
    </row>
    <row r="46" spans="1:18" x14ac:dyDescent="0.2">
      <c r="A46" s="500"/>
      <c r="B46" s="501"/>
      <c r="C46" s="501"/>
      <c r="D46" s="501"/>
      <c r="E46" s="501"/>
      <c r="F46" s="501"/>
      <c r="G46" s="501"/>
      <c r="H46" s="501"/>
      <c r="I46" s="501"/>
      <c r="J46" s="501"/>
      <c r="K46" s="501"/>
      <c r="L46" s="501"/>
      <c r="M46" s="501"/>
      <c r="N46" s="501"/>
      <c r="O46" s="501"/>
      <c r="P46" s="501"/>
      <c r="Q46" s="501"/>
      <c r="R46" s="501"/>
    </row>
    <row r="47" spans="1:18" x14ac:dyDescent="0.2">
      <c r="A47" s="500"/>
      <c r="B47" s="501"/>
      <c r="C47" s="501"/>
      <c r="D47" s="501"/>
      <c r="E47" s="501"/>
      <c r="F47" s="501"/>
      <c r="G47" s="501"/>
      <c r="H47" s="501"/>
      <c r="I47" s="501"/>
      <c r="J47" s="501"/>
      <c r="K47" s="501"/>
      <c r="L47" s="501"/>
      <c r="M47" s="501"/>
      <c r="N47" s="501"/>
      <c r="O47" s="501"/>
      <c r="P47" s="501"/>
      <c r="Q47" s="501"/>
      <c r="R47" s="501"/>
    </row>
    <row r="48" spans="1:18" x14ac:dyDescent="0.2">
      <c r="A48" s="3" t="s">
        <v>9</v>
      </c>
      <c r="B48" s="4" t="s">
        <v>709</v>
      </c>
      <c r="C48" s="4" t="s">
        <v>34</v>
      </c>
      <c r="D48" s="478">
        <f>Assumptions!D61</f>
        <v>183.761</v>
      </c>
      <c r="E48" s="10">
        <f>H42</f>
        <v>0.54962184620454535</v>
      </c>
      <c r="F48" s="10">
        <f>D48/$D$70</f>
        <v>1.9984743554047175E-3</v>
      </c>
      <c r="G48" s="114">
        <f>$F$42</f>
        <v>1.5096782657683516</v>
      </c>
      <c r="H48" s="10">
        <f>(G48)^2</f>
        <v>2.2791284661333377</v>
      </c>
      <c r="I48" s="10">
        <f t="shared" ref="I48:I69" si="2">F48*G48</f>
        <v>3.0170532990499181E-3</v>
      </c>
      <c r="J48" s="10">
        <f>F48*H48</f>
        <v>4.5547797922403646E-3</v>
      </c>
      <c r="K48" s="10">
        <v>1.96</v>
      </c>
      <c r="L48" s="10">
        <f>D70/0.04</f>
        <v>2298766.0500000003</v>
      </c>
      <c r="M48" s="10">
        <f>L48*($K$48)^2*($I$70)^2</f>
        <v>20126845.956524283</v>
      </c>
      <c r="N48" s="10">
        <f>L48*($E$48)^2+($K$48)^2*$J$70</f>
        <v>694429.59853179753</v>
      </c>
      <c r="O48" s="115">
        <f>M48/N48</f>
        <v>28.983277785217684</v>
      </c>
      <c r="P48" s="116">
        <f>$O$48*I48/$I$70</f>
        <v>5.7922337389328775E-2</v>
      </c>
      <c r="Q48" s="116">
        <f>ROUNDUP(P48,0)</f>
        <v>1</v>
      </c>
      <c r="R48" s="10">
        <f>Q48*3</f>
        <v>3</v>
      </c>
    </row>
    <row r="49" spans="1:18" x14ac:dyDescent="0.2">
      <c r="A49" s="5" t="s">
        <v>10</v>
      </c>
      <c r="B49" s="4"/>
      <c r="C49" s="4" t="s">
        <v>35</v>
      </c>
      <c r="D49" s="478">
        <f>Assumptions!D62</f>
        <v>6772.8780000000015</v>
      </c>
      <c r="E49" s="10"/>
      <c r="F49" s="10">
        <f t="shared" ref="F49:F69" si="3">D49/$D$70</f>
        <v>7.3657756516806047E-2</v>
      </c>
      <c r="G49" s="114">
        <f t="shared" ref="G49:G69" si="4">$F$42</f>
        <v>1.5096782657683516</v>
      </c>
      <c r="H49" s="10">
        <f t="shared" ref="H49:H69" si="5">(G49)^2</f>
        <v>2.2791284661333377</v>
      </c>
      <c r="I49" s="10">
        <f t="shared" si="2"/>
        <v>0.11119951411867926</v>
      </c>
      <c r="J49" s="10">
        <f t="shared" ref="J49:J69" si="6">F49*H49</f>
        <v>0.16787548962897103</v>
      </c>
      <c r="K49" s="10"/>
      <c r="L49" s="10"/>
      <c r="M49" s="10"/>
      <c r="N49" s="10"/>
      <c r="O49" s="117"/>
      <c r="P49" s="116">
        <f t="shared" ref="P49:P69" si="7">$O$48*I49/$I$70</f>
        <v>2.1348432181625179</v>
      </c>
      <c r="Q49" s="116">
        <f>ROUNDUP(P49,0)</f>
        <v>3</v>
      </c>
      <c r="R49" s="10">
        <f t="shared" ref="R49:R69" si="8">Q49*3</f>
        <v>9</v>
      </c>
    </row>
    <row r="50" spans="1:18" x14ac:dyDescent="0.2">
      <c r="A50" s="5" t="s">
        <v>11</v>
      </c>
      <c r="B50" s="4"/>
      <c r="C50" s="4" t="s">
        <v>35</v>
      </c>
      <c r="D50" s="478">
        <f>Assumptions!D63</f>
        <v>4319.8270000000002</v>
      </c>
      <c r="E50" s="10"/>
      <c r="F50" s="10">
        <f t="shared" si="3"/>
        <v>4.6979845991722377E-2</v>
      </c>
      <c r="G50" s="114">
        <f t="shared" si="4"/>
        <v>1.5096782657683516</v>
      </c>
      <c r="H50" s="10">
        <f t="shared" si="5"/>
        <v>2.2791284661333377</v>
      </c>
      <c r="I50" s="10">
        <f t="shared" si="2"/>
        <v>7.0924452422847686E-2</v>
      </c>
      <c r="J50" s="10">
        <f t="shared" si="6"/>
        <v>0.10707310433429466</v>
      </c>
      <c r="K50" s="10"/>
      <c r="L50" s="10"/>
      <c r="M50" s="10"/>
      <c r="N50" s="10"/>
      <c r="O50" s="117"/>
      <c r="P50" s="116">
        <f t="shared" si="7"/>
        <v>1.3616299266848355</v>
      </c>
      <c r="Q50" s="116">
        <f t="shared" ref="Q50:Q69" si="9">ROUNDUP(P50,0)</f>
        <v>2</v>
      </c>
      <c r="R50" s="10">
        <f t="shared" si="8"/>
        <v>6</v>
      </c>
    </row>
    <row r="51" spans="1:18" x14ac:dyDescent="0.2">
      <c r="A51" s="5" t="s">
        <v>12</v>
      </c>
      <c r="B51" s="4"/>
      <c r="C51" s="4" t="s">
        <v>34</v>
      </c>
      <c r="D51" s="478">
        <f>Assumptions!D64</f>
        <v>1612.0500000000002</v>
      </c>
      <c r="E51" s="10"/>
      <c r="F51" s="10">
        <f t="shared" si="3"/>
        <v>1.7531688359500523E-2</v>
      </c>
      <c r="G51" s="114">
        <f t="shared" si="4"/>
        <v>1.5096782657683516</v>
      </c>
      <c r="H51" s="10">
        <f t="shared" si="5"/>
        <v>2.2791284661333377</v>
      </c>
      <c r="I51" s="10">
        <f t="shared" si="2"/>
        <v>2.6467208878561948E-2</v>
      </c>
      <c r="J51" s="10">
        <f t="shared" si="6"/>
        <v>3.9956969999516118E-2</v>
      </c>
      <c r="K51" s="10"/>
      <c r="L51" s="10"/>
      <c r="M51" s="10"/>
      <c r="N51" s="10"/>
      <c r="O51" s="117"/>
      <c r="P51" s="116">
        <f t="shared" si="7"/>
        <v>0.50812579376727096</v>
      </c>
      <c r="Q51" s="116">
        <f t="shared" si="9"/>
        <v>1</v>
      </c>
      <c r="R51" s="10">
        <f t="shared" si="8"/>
        <v>3</v>
      </c>
    </row>
    <row r="52" spans="1:18" x14ac:dyDescent="0.2">
      <c r="A52" s="5" t="s">
        <v>13</v>
      </c>
      <c r="B52" s="4"/>
      <c r="C52" s="4" t="s">
        <v>34</v>
      </c>
      <c r="D52" s="478">
        <f>Assumptions!D65</f>
        <v>353.58800000000002</v>
      </c>
      <c r="E52" s="10"/>
      <c r="F52" s="10">
        <f t="shared" si="3"/>
        <v>3.84541088902892E-3</v>
      </c>
      <c r="G52" s="114">
        <f t="shared" si="4"/>
        <v>1.5096782657683516</v>
      </c>
      <c r="H52" s="10">
        <f t="shared" si="5"/>
        <v>2.2791284661333377</v>
      </c>
      <c r="I52" s="10">
        <f t="shared" si="2"/>
        <v>5.8053332421159152E-3</v>
      </c>
      <c r="J52" s="10">
        <f t="shared" si="6"/>
        <v>8.7641854211649179E-3</v>
      </c>
      <c r="K52" s="10"/>
      <c r="L52" s="10"/>
      <c r="M52" s="10"/>
      <c r="N52" s="10"/>
      <c r="O52" s="117"/>
      <c r="P52" s="116">
        <f t="shared" si="7"/>
        <v>0.11145261199502608</v>
      </c>
      <c r="Q52" s="116">
        <f t="shared" si="9"/>
        <v>1</v>
      </c>
      <c r="R52" s="10">
        <f t="shared" si="8"/>
        <v>3</v>
      </c>
    </row>
    <row r="53" spans="1:18" x14ac:dyDescent="0.2">
      <c r="A53" s="5" t="s">
        <v>14</v>
      </c>
      <c r="B53" s="4"/>
      <c r="C53" s="4" t="s">
        <v>35</v>
      </c>
      <c r="D53" s="478">
        <f>Assumptions!D66</f>
        <v>4915.7929999999997</v>
      </c>
      <c r="E53" s="10"/>
      <c r="F53" s="10">
        <f t="shared" si="3"/>
        <v>5.3461214550301873E-2</v>
      </c>
      <c r="G53" s="114">
        <f t="shared" si="4"/>
        <v>1.5096782657683516</v>
      </c>
      <c r="H53" s="10">
        <f t="shared" si="5"/>
        <v>2.2791284661333377</v>
      </c>
      <c r="I53" s="10">
        <f t="shared" si="2"/>
        <v>8.0709233668169497E-2</v>
      </c>
      <c r="J53" s="10">
        <f t="shared" si="6"/>
        <v>0.12184497591565478</v>
      </c>
      <c r="K53" s="10"/>
      <c r="L53" s="10"/>
      <c r="M53" s="10"/>
      <c r="N53" s="10"/>
      <c r="O53" s="117"/>
      <c r="P53" s="116">
        <f t="shared" si="7"/>
        <v>1.5494812320465208</v>
      </c>
      <c r="Q53" s="116">
        <f t="shared" si="9"/>
        <v>2</v>
      </c>
      <c r="R53" s="10">
        <f t="shared" si="8"/>
        <v>6</v>
      </c>
    </row>
    <row r="54" spans="1:18" x14ac:dyDescent="0.2">
      <c r="A54" s="5" t="s">
        <v>15</v>
      </c>
      <c r="B54" s="4"/>
      <c r="C54" s="4" t="s">
        <v>34</v>
      </c>
      <c r="D54" s="478">
        <f>Assumptions!D67</f>
        <v>2549.9479999999994</v>
      </c>
      <c r="E54" s="10"/>
      <c r="F54" s="10">
        <f t="shared" si="3"/>
        <v>2.7731704146230961E-2</v>
      </c>
      <c r="G54" s="114">
        <f t="shared" si="4"/>
        <v>1.5096782657683516</v>
      </c>
      <c r="H54" s="10">
        <f t="shared" si="5"/>
        <v>2.2791284661333377</v>
      </c>
      <c r="I54" s="10">
        <f t="shared" si="2"/>
        <v>4.1865951022282966E-2</v>
      </c>
      <c r="J54" s="10">
        <f t="shared" si="6"/>
        <v>6.3204116334062893E-2</v>
      </c>
      <c r="K54" s="10"/>
      <c r="L54" s="10"/>
      <c r="M54" s="10"/>
      <c r="N54" s="10"/>
      <c r="O54" s="117"/>
      <c r="P54" s="116">
        <f t="shared" si="7"/>
        <v>0.80375568472768499</v>
      </c>
      <c r="Q54" s="116">
        <f t="shared" si="9"/>
        <v>1</v>
      </c>
      <c r="R54" s="10">
        <f t="shared" si="8"/>
        <v>3</v>
      </c>
    </row>
    <row r="55" spans="1:18" x14ac:dyDescent="0.2">
      <c r="A55" s="5" t="s">
        <v>16</v>
      </c>
      <c r="B55" s="4"/>
      <c r="C55" s="4" t="s">
        <v>36</v>
      </c>
      <c r="D55" s="478">
        <f>Assumptions!D68</f>
        <v>741.26900000000001</v>
      </c>
      <c r="E55" s="10"/>
      <c r="F55" s="10">
        <f t="shared" si="3"/>
        <v>8.0615967858060182E-3</v>
      </c>
      <c r="G55" s="114">
        <f t="shared" si="4"/>
        <v>1.5096782657683516</v>
      </c>
      <c r="H55" s="10">
        <f t="shared" si="5"/>
        <v>2.2791284661333377</v>
      </c>
      <c r="I55" s="10">
        <f t="shared" si="2"/>
        <v>1.2170417454919346E-2</v>
      </c>
      <c r="J55" s="10">
        <f t="shared" si="6"/>
        <v>1.8373414717019514E-2</v>
      </c>
      <c r="K55" s="10"/>
      <c r="L55" s="10"/>
      <c r="M55" s="10"/>
      <c r="N55" s="10"/>
      <c r="O55" s="117"/>
      <c r="P55" s="116">
        <f t="shared" si="7"/>
        <v>0.23365149903543384</v>
      </c>
      <c r="Q55" s="116">
        <f t="shared" si="9"/>
        <v>1</v>
      </c>
      <c r="R55" s="10">
        <f t="shared" si="8"/>
        <v>3</v>
      </c>
    </row>
    <row r="56" spans="1:18" x14ac:dyDescent="0.2">
      <c r="A56" s="5" t="s">
        <v>17</v>
      </c>
      <c r="B56" s="4"/>
      <c r="C56" s="4" t="s">
        <v>35</v>
      </c>
      <c r="D56" s="478">
        <f>Assumptions!D69</f>
        <v>8643.7000000000025</v>
      </c>
      <c r="E56" s="10"/>
      <c r="F56" s="10">
        <f t="shared" si="3"/>
        <v>9.4003693851316461E-2</v>
      </c>
      <c r="G56" s="114">
        <f t="shared" si="4"/>
        <v>1.5096782657683516</v>
      </c>
      <c r="H56" s="10">
        <f t="shared" si="5"/>
        <v>2.2791284661333377</v>
      </c>
      <c r="I56" s="10">
        <f t="shared" si="2"/>
        <v>0.14191533350927449</v>
      </c>
      <c r="J56" s="10">
        <f t="shared" si="6"/>
        <v>0.21424649457821876</v>
      </c>
      <c r="K56" s="10"/>
      <c r="L56" s="10"/>
      <c r="M56" s="10"/>
      <c r="N56" s="10"/>
      <c r="O56" s="117"/>
      <c r="P56" s="116">
        <f t="shared" si="7"/>
        <v>2.7245351717292645</v>
      </c>
      <c r="Q56" s="116">
        <f t="shared" si="9"/>
        <v>3</v>
      </c>
      <c r="R56" s="10">
        <f t="shared" si="8"/>
        <v>9</v>
      </c>
    </row>
    <row r="57" spans="1:18" x14ac:dyDescent="0.2">
      <c r="A57" s="5" t="s">
        <v>18</v>
      </c>
      <c r="B57" s="4"/>
      <c r="C57" s="4" t="s">
        <v>35</v>
      </c>
      <c r="D57" s="478">
        <f>Assumptions!D70</f>
        <v>2860.4270000000001</v>
      </c>
      <c r="E57" s="10"/>
      <c r="F57" s="10">
        <f t="shared" si="3"/>
        <v>3.1108287422289008E-2</v>
      </c>
      <c r="G57" s="114">
        <f t="shared" si="4"/>
        <v>1.5096782657683516</v>
      </c>
      <c r="H57" s="10">
        <f t="shared" si="5"/>
        <v>2.2791284661333377</v>
      </c>
      <c r="I57" s="10">
        <f t="shared" si="2"/>
        <v>4.6963505406704693E-2</v>
      </c>
      <c r="J57" s="10">
        <f t="shared" si="6"/>
        <v>7.0899783396796548E-2</v>
      </c>
      <c r="K57" s="10"/>
      <c r="L57" s="10"/>
      <c r="M57" s="10"/>
      <c r="N57" s="10"/>
      <c r="O57" s="117"/>
      <c r="P57" s="116">
        <f t="shared" si="7"/>
        <v>0.90162013578259559</v>
      </c>
      <c r="Q57" s="116">
        <f t="shared" si="9"/>
        <v>1</v>
      </c>
      <c r="R57" s="10">
        <f t="shared" si="8"/>
        <v>3</v>
      </c>
    </row>
    <row r="58" spans="1:18" x14ac:dyDescent="0.2">
      <c r="A58" s="5" t="s">
        <v>19</v>
      </c>
      <c r="B58" s="4"/>
      <c r="C58" s="4" t="s">
        <v>35</v>
      </c>
      <c r="D58" s="478">
        <f>Assumptions!D71</f>
        <v>9034.3230000000021</v>
      </c>
      <c r="E58" s="10"/>
      <c r="F58" s="10">
        <f t="shared" si="3"/>
        <v>9.8251875174509382E-2</v>
      </c>
      <c r="G58" s="114">
        <f t="shared" si="4"/>
        <v>1.5096782657683516</v>
      </c>
      <c r="H58" s="10">
        <f t="shared" si="5"/>
        <v>2.2791284661333377</v>
      </c>
      <c r="I58" s="10">
        <f t="shared" si="2"/>
        <v>0.14832872052194188</v>
      </c>
      <c r="J58" s="10">
        <f t="shared" si="6"/>
        <v>0.22392864556120373</v>
      </c>
      <c r="K58" s="10"/>
      <c r="L58" s="10"/>
      <c r="M58" s="10"/>
      <c r="N58" s="10"/>
      <c r="O58" s="117"/>
      <c r="P58" s="116">
        <f t="shared" si="7"/>
        <v>2.8476613911013384</v>
      </c>
      <c r="Q58" s="116">
        <f t="shared" si="9"/>
        <v>3</v>
      </c>
      <c r="R58" s="10">
        <f t="shared" si="8"/>
        <v>9</v>
      </c>
    </row>
    <row r="59" spans="1:18" x14ac:dyDescent="0.2">
      <c r="A59" s="5" t="s">
        <v>20</v>
      </c>
      <c r="B59" s="4"/>
      <c r="C59" s="4" t="s">
        <v>37</v>
      </c>
      <c r="D59" s="478">
        <f>Assumptions!D72</f>
        <v>2315.3180000000002</v>
      </c>
      <c r="E59" s="10"/>
      <c r="F59" s="10">
        <f t="shared" si="3"/>
        <v>2.5180009074868663E-2</v>
      </c>
      <c r="G59" s="114">
        <f t="shared" si="4"/>
        <v>1.5096782657683516</v>
      </c>
      <c r="H59" s="10">
        <f t="shared" si="5"/>
        <v>2.2791284661333377</v>
      </c>
      <c r="I59" s="10">
        <f t="shared" si="2"/>
        <v>3.8013712432179082E-2</v>
      </c>
      <c r="J59" s="10">
        <f t="shared" si="6"/>
        <v>5.738847546002894E-2</v>
      </c>
      <c r="K59" s="10"/>
      <c r="L59" s="10"/>
      <c r="M59" s="10"/>
      <c r="N59" s="10"/>
      <c r="O59" s="117"/>
      <c r="P59" s="116">
        <f t="shared" si="7"/>
        <v>0.72979919765122059</v>
      </c>
      <c r="Q59" s="116">
        <f t="shared" si="9"/>
        <v>1</v>
      </c>
      <c r="R59" s="10">
        <f t="shared" si="8"/>
        <v>3</v>
      </c>
    </row>
    <row r="60" spans="1:18" x14ac:dyDescent="0.2">
      <c r="A60" s="5" t="s">
        <v>21</v>
      </c>
      <c r="B60" s="4"/>
      <c r="C60" s="4" t="s">
        <v>35</v>
      </c>
      <c r="D60" s="478">
        <f>Assumptions!D73</f>
        <v>5717.201</v>
      </c>
      <c r="E60" s="10"/>
      <c r="F60" s="10">
        <f t="shared" si="3"/>
        <v>6.2176847008855021E-2</v>
      </c>
      <c r="G60" s="114">
        <f t="shared" si="4"/>
        <v>1.5096782657683516</v>
      </c>
      <c r="H60" s="10">
        <f t="shared" si="5"/>
        <v>2.2791284661333377</v>
      </c>
      <c r="I60" s="10">
        <f t="shared" si="2"/>
        <v>9.3867034563272375E-2</v>
      </c>
      <c r="J60" s="10">
        <f t="shared" si="6"/>
        <v>0.14170902195229895</v>
      </c>
      <c r="K60" s="10"/>
      <c r="L60" s="10"/>
      <c r="M60" s="10"/>
      <c r="N60" s="10"/>
      <c r="O60" s="117"/>
      <c r="P60" s="116">
        <f t="shared" si="7"/>
        <v>1.8020888286666263</v>
      </c>
      <c r="Q60" s="116">
        <f t="shared" si="9"/>
        <v>2</v>
      </c>
      <c r="R60" s="10">
        <f t="shared" si="8"/>
        <v>6</v>
      </c>
    </row>
    <row r="61" spans="1:18" x14ac:dyDescent="0.2">
      <c r="A61" s="5" t="s">
        <v>22</v>
      </c>
      <c r="B61" s="4"/>
      <c r="C61" s="4" t="s">
        <v>35</v>
      </c>
      <c r="D61" s="478">
        <f>Assumptions!D74</f>
        <v>3768.0449999999996</v>
      </c>
      <c r="E61" s="10"/>
      <c r="F61" s="10">
        <f t="shared" si="3"/>
        <v>4.0978996100973379E-2</v>
      </c>
      <c r="G61" s="114">
        <f t="shared" si="4"/>
        <v>1.5096782657683516</v>
      </c>
      <c r="H61" s="10">
        <f t="shared" si="5"/>
        <v>2.2791284661333377</v>
      </c>
      <c r="I61" s="10">
        <f t="shared" si="2"/>
        <v>6.1865099766645532E-2</v>
      </c>
      <c r="J61" s="10">
        <f t="shared" si="6"/>
        <v>9.3396396527295492E-2</v>
      </c>
      <c r="K61" s="10"/>
      <c r="L61" s="10"/>
      <c r="M61" s="10"/>
      <c r="N61" s="10"/>
      <c r="O61" s="117"/>
      <c r="P61" s="116">
        <f t="shared" si="7"/>
        <v>1.1877056273538638</v>
      </c>
      <c r="Q61" s="116">
        <f t="shared" si="9"/>
        <v>2</v>
      </c>
      <c r="R61" s="10">
        <f t="shared" si="8"/>
        <v>6</v>
      </c>
    </row>
    <row r="62" spans="1:18" x14ac:dyDescent="0.2">
      <c r="A62" s="5" t="s">
        <v>23</v>
      </c>
      <c r="B62" s="4"/>
      <c r="C62" s="4" t="s">
        <v>34</v>
      </c>
      <c r="D62" s="478">
        <f>Assumptions!D75</f>
        <v>236.66199999999998</v>
      </c>
      <c r="E62" s="10"/>
      <c r="F62" s="10">
        <f t="shared" si="3"/>
        <v>2.5737938838969708E-3</v>
      </c>
      <c r="G62" s="114">
        <f t="shared" si="4"/>
        <v>1.5096782657683516</v>
      </c>
      <c r="H62" s="10">
        <f t="shared" si="5"/>
        <v>2.2791284661333377</v>
      </c>
      <c r="I62" s="10">
        <f t="shared" si="2"/>
        <v>3.8856006870867689E-3</v>
      </c>
      <c r="J62" s="10">
        <f t="shared" si="6"/>
        <v>5.8660069067494689E-3</v>
      </c>
      <c r="K62" s="10"/>
      <c r="L62" s="10"/>
      <c r="M62" s="10"/>
      <c r="N62" s="10"/>
      <c r="O62" s="117"/>
      <c r="P62" s="116">
        <f t="shared" si="7"/>
        <v>7.4596983098880215E-2</v>
      </c>
      <c r="Q62" s="116">
        <f t="shared" si="9"/>
        <v>1</v>
      </c>
      <c r="R62" s="10">
        <f t="shared" si="8"/>
        <v>3</v>
      </c>
    </row>
    <row r="63" spans="1:18" x14ac:dyDescent="0.2">
      <c r="A63" s="5" t="s">
        <v>24</v>
      </c>
      <c r="B63" s="4"/>
      <c r="C63" s="4" t="s">
        <v>35</v>
      </c>
      <c r="D63" s="478">
        <f>Assumptions!D76</f>
        <v>6640.8160000000016</v>
      </c>
      <c r="E63" s="10"/>
      <c r="F63" s="10">
        <f t="shared" si="3"/>
        <v>7.2221529459250547E-2</v>
      </c>
      <c r="G63" s="114">
        <f t="shared" si="4"/>
        <v>1.5096782657683516</v>
      </c>
      <c r="H63" s="10">
        <f t="shared" si="5"/>
        <v>2.2791284661333377</v>
      </c>
      <c r="I63" s="10">
        <f t="shared" si="2"/>
        <v>0.10903127334517929</v>
      </c>
      <c r="J63" s="10">
        <f t="shared" si="6"/>
        <v>0.16460214365826537</v>
      </c>
      <c r="K63" s="10"/>
      <c r="L63" s="10"/>
      <c r="M63" s="10"/>
      <c r="N63" s="10"/>
      <c r="O63" s="117"/>
      <c r="P63" s="116">
        <f t="shared" si="7"/>
        <v>2.0932166503907412</v>
      </c>
      <c r="Q63" s="116">
        <f t="shared" si="9"/>
        <v>3</v>
      </c>
      <c r="R63" s="10">
        <f t="shared" si="8"/>
        <v>9</v>
      </c>
    </row>
    <row r="64" spans="1:18" x14ac:dyDescent="0.2">
      <c r="A64" s="5" t="s">
        <v>25</v>
      </c>
      <c r="B64" s="4"/>
      <c r="C64" s="4" t="s">
        <v>36</v>
      </c>
      <c r="D64" s="478">
        <f>Assumptions!D77</f>
        <v>837.08299999999997</v>
      </c>
      <c r="E64" s="10"/>
      <c r="F64" s="10">
        <f t="shared" si="3"/>
        <v>9.1036123488947452E-3</v>
      </c>
      <c r="G64" s="114">
        <f t="shared" si="4"/>
        <v>1.5096782657683516</v>
      </c>
      <c r="H64" s="10">
        <f t="shared" si="5"/>
        <v>2.2791284661333377</v>
      </c>
      <c r="I64" s="10">
        <f t="shared" si="2"/>
        <v>1.3743525703106768E-2</v>
      </c>
      <c r="J64" s="10">
        <f t="shared" si="6"/>
        <v>2.0748302049008991E-2</v>
      </c>
      <c r="K64" s="10"/>
      <c r="L64" s="10"/>
      <c r="M64" s="10"/>
      <c r="N64" s="10"/>
      <c r="O64" s="117"/>
      <c r="P64" s="116">
        <f t="shared" si="7"/>
        <v>0.26385252555695443</v>
      </c>
      <c r="Q64" s="116">
        <f t="shared" si="9"/>
        <v>1</v>
      </c>
      <c r="R64" s="10">
        <f t="shared" si="8"/>
        <v>3</v>
      </c>
    </row>
    <row r="65" spans="1:19" x14ac:dyDescent="0.2">
      <c r="A65" s="5" t="s">
        <v>26</v>
      </c>
      <c r="B65" s="4"/>
      <c r="C65" s="4" t="s">
        <v>34</v>
      </c>
      <c r="D65" s="478">
        <f>Assumptions!D78</f>
        <v>1849.3409999999997</v>
      </c>
      <c r="E65" s="10"/>
      <c r="F65" s="10">
        <f t="shared" si="3"/>
        <v>2.0112322869915353E-2</v>
      </c>
      <c r="G65" s="114">
        <f t="shared" si="4"/>
        <v>1.5096782657683516</v>
      </c>
      <c r="H65" s="10">
        <f t="shared" si="5"/>
        <v>2.2791284661333377</v>
      </c>
      <c r="I65" s="10">
        <f t="shared" si="2"/>
        <v>3.0363136710826969E-2</v>
      </c>
      <c r="J65" s="10">
        <f t="shared" si="6"/>
        <v>4.5838567572888629E-2</v>
      </c>
      <c r="K65" s="10"/>
      <c r="L65" s="10"/>
      <c r="M65" s="10"/>
      <c r="N65" s="10"/>
      <c r="O65" s="117"/>
      <c r="P65" s="116">
        <f t="shared" si="7"/>
        <v>0.58292104064474326</v>
      </c>
      <c r="Q65" s="116">
        <f t="shared" si="9"/>
        <v>1</v>
      </c>
      <c r="R65" s="10">
        <f t="shared" si="8"/>
        <v>3</v>
      </c>
    </row>
    <row r="66" spans="1:19" x14ac:dyDescent="0.2">
      <c r="A66" s="5" t="s">
        <v>27</v>
      </c>
      <c r="B66" s="4"/>
      <c r="C66" s="4" t="s">
        <v>37</v>
      </c>
      <c r="D66" s="478">
        <f>Assumptions!D79</f>
        <v>7884.7310000000007</v>
      </c>
      <c r="E66" s="10"/>
      <c r="F66" s="10">
        <f t="shared" si="3"/>
        <v>8.5749602487821666E-2</v>
      </c>
      <c r="G66" s="114">
        <f t="shared" si="4"/>
        <v>1.5096782657683516</v>
      </c>
      <c r="H66" s="10">
        <f t="shared" si="5"/>
        <v>2.2791284661333377</v>
      </c>
      <c r="I66" s="10">
        <f t="shared" si="2"/>
        <v>0.12945431117414014</v>
      </c>
      <c r="J66" s="10">
        <f t="shared" si="6"/>
        <v>0.19543435998961245</v>
      </c>
      <c r="K66" s="10"/>
      <c r="L66" s="10"/>
      <c r="M66" s="10"/>
      <c r="N66" s="10"/>
      <c r="O66" s="117"/>
      <c r="P66" s="116">
        <f t="shared" si="7"/>
        <v>2.4853045488765289</v>
      </c>
      <c r="Q66" s="116">
        <f t="shared" si="9"/>
        <v>3</v>
      </c>
      <c r="R66" s="10">
        <f t="shared" si="8"/>
        <v>9</v>
      </c>
    </row>
    <row r="67" spans="1:19" x14ac:dyDescent="0.2">
      <c r="A67" s="5" t="s">
        <v>28</v>
      </c>
      <c r="B67" s="4"/>
      <c r="C67" s="4" t="s">
        <v>36</v>
      </c>
      <c r="D67" s="478">
        <f>Assumptions!D80</f>
        <v>2195.1750000000002</v>
      </c>
      <c r="E67" s="10"/>
      <c r="F67" s="10">
        <f t="shared" si="3"/>
        <v>2.3873405908356786E-2</v>
      </c>
      <c r="G67" s="114">
        <f t="shared" si="4"/>
        <v>1.5096782657683516</v>
      </c>
      <c r="H67" s="10">
        <f t="shared" si="5"/>
        <v>2.2791284661333377</v>
      </c>
      <c r="I67" s="10">
        <f t="shared" si="2"/>
        <v>3.6041162029711991E-2</v>
      </c>
      <c r="J67" s="10">
        <f t="shared" si="6"/>
        <v>5.4410558989291764E-2</v>
      </c>
      <c r="K67" s="10"/>
      <c r="L67" s="10"/>
      <c r="M67" s="10"/>
      <c r="N67" s="10"/>
      <c r="O67" s="117"/>
      <c r="P67" s="116">
        <f t="shared" si="7"/>
        <v>0.69192955512116183</v>
      </c>
      <c r="Q67" s="116">
        <f t="shared" si="9"/>
        <v>1</v>
      </c>
      <c r="R67" s="10">
        <f t="shared" si="8"/>
        <v>3</v>
      </c>
    </row>
    <row r="68" spans="1:19" x14ac:dyDescent="0.2">
      <c r="A68" s="5" t="s">
        <v>29</v>
      </c>
      <c r="B68" s="4"/>
      <c r="C68" s="4" t="s">
        <v>37</v>
      </c>
      <c r="D68" s="478">
        <f>Assumptions!D81</f>
        <v>454.25200000000001</v>
      </c>
      <c r="E68" s="10"/>
      <c r="F68" s="10">
        <f t="shared" si="3"/>
        <v>4.9401721414843404E-3</v>
      </c>
      <c r="G68" s="114">
        <f t="shared" si="4"/>
        <v>1.5096782657683516</v>
      </c>
      <c r="H68" s="10">
        <f t="shared" si="5"/>
        <v>2.2791284661333377</v>
      </c>
      <c r="I68" s="10">
        <f t="shared" si="2"/>
        <v>7.4580705111532029E-3</v>
      </c>
      <c r="J68" s="10">
        <f t="shared" si="6"/>
        <v>1.125928695525585E-2</v>
      </c>
      <c r="K68" s="10"/>
      <c r="L68" s="10"/>
      <c r="M68" s="10"/>
      <c r="N68" s="10"/>
      <c r="O68" s="117"/>
      <c r="P68" s="116">
        <f t="shared" si="7"/>
        <v>0.14318238148343437</v>
      </c>
      <c r="Q68" s="116">
        <f t="shared" si="9"/>
        <v>1</v>
      </c>
      <c r="R68" s="10">
        <f t="shared" si="8"/>
        <v>3</v>
      </c>
    </row>
    <row r="69" spans="1:19" x14ac:dyDescent="0.2">
      <c r="A69" s="5" t="s">
        <v>30</v>
      </c>
      <c r="B69" s="4"/>
      <c r="C69" s="4" t="s">
        <v>35</v>
      </c>
      <c r="D69" s="478">
        <f>Assumptions!D82</f>
        <v>18064.454000000005</v>
      </c>
      <c r="E69" s="10"/>
      <c r="F69" s="10">
        <f t="shared" si="3"/>
        <v>0.19645816067276617</v>
      </c>
      <c r="G69" s="114">
        <f t="shared" si="4"/>
        <v>1.5096782657683516</v>
      </c>
      <c r="H69" s="10">
        <f t="shared" si="5"/>
        <v>2.2791284661333377</v>
      </c>
      <c r="I69" s="10">
        <f t="shared" si="2"/>
        <v>0.29658861530050179</v>
      </c>
      <c r="J69" s="10">
        <f t="shared" si="6"/>
        <v>0.44775338639349838</v>
      </c>
      <c r="K69" s="10"/>
      <c r="L69" s="10"/>
      <c r="M69" s="10"/>
      <c r="N69" s="10"/>
      <c r="O69" s="117"/>
      <c r="P69" s="116">
        <f t="shared" si="7"/>
        <v>5.6940014439517102</v>
      </c>
      <c r="Q69" s="116">
        <f t="shared" si="9"/>
        <v>6</v>
      </c>
      <c r="R69" s="10">
        <f t="shared" si="8"/>
        <v>18</v>
      </c>
    </row>
    <row r="70" spans="1:19" x14ac:dyDescent="0.2">
      <c r="A70" s="10"/>
      <c r="B70" s="10"/>
      <c r="C70" s="10"/>
      <c r="D70" s="116">
        <f>SUM(D48:D69)</f>
        <v>91950.642000000022</v>
      </c>
      <c r="E70" s="10"/>
      <c r="F70" s="10"/>
      <c r="G70" s="10"/>
      <c r="H70" s="10"/>
      <c r="I70" s="10">
        <f>SUM(I48:I69)</f>
        <v>1.5096782657683516</v>
      </c>
      <c r="J70" s="10">
        <f>SUM(J48:J69)</f>
        <v>2.2791284661333377</v>
      </c>
      <c r="K70" s="10"/>
      <c r="L70" s="10"/>
      <c r="M70" s="10"/>
      <c r="N70" s="10"/>
      <c r="O70" s="10"/>
      <c r="P70" s="116"/>
      <c r="Q70" s="116">
        <f>SUM(Q48:Q69)</f>
        <v>41</v>
      </c>
      <c r="R70" s="10">
        <f>SUM(R48:R69)</f>
        <v>123</v>
      </c>
      <c r="S70" s="10"/>
    </row>
  </sheetData>
  <mergeCells count="18">
    <mergeCell ref="R45:R47"/>
    <mergeCell ref="G45:G47"/>
    <mergeCell ref="H45:H47"/>
    <mergeCell ref="I45:I47"/>
    <mergeCell ref="J45:J47"/>
    <mergeCell ref="K45:K47"/>
    <mergeCell ref="L45:L47"/>
    <mergeCell ref="M45:M47"/>
    <mergeCell ref="N45:N47"/>
    <mergeCell ref="O45:O47"/>
    <mergeCell ref="P45:P47"/>
    <mergeCell ref="Q45:Q47"/>
    <mergeCell ref="F45:F47"/>
    <mergeCell ref="A45:A47"/>
    <mergeCell ref="B45:B47"/>
    <mergeCell ref="C45:C47"/>
    <mergeCell ref="D45:D47"/>
    <mergeCell ref="E45:E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07D11-3A8F-6A44-859E-D0120DDA3D83}">
  <dimension ref="A1:AF141"/>
  <sheetViews>
    <sheetView workbookViewId="0">
      <selection activeCell="B5" sqref="B5"/>
    </sheetView>
  </sheetViews>
  <sheetFormatPr baseColWidth="10" defaultColWidth="8.83203125" defaultRowHeight="15" x14ac:dyDescent="0.2"/>
  <cols>
    <col min="2" max="2" width="16.33203125" customWidth="1"/>
    <col min="3" max="3" width="10.6640625" customWidth="1"/>
    <col min="4" max="4" width="17.6640625" customWidth="1"/>
    <col min="5" max="5" width="16" customWidth="1"/>
    <col min="6" max="6" width="12.33203125" customWidth="1"/>
    <col min="7" max="7" width="17.6640625" customWidth="1"/>
    <col min="8" max="8" width="15.83203125" customWidth="1"/>
    <col min="9" max="9" width="8.5" customWidth="1"/>
    <col min="10" max="10" width="17.33203125" customWidth="1"/>
    <col min="11" max="12" width="15.83203125" customWidth="1"/>
    <col min="13" max="13" width="16.1640625" customWidth="1"/>
    <col min="14" max="15" width="15" customWidth="1"/>
    <col min="16" max="16" width="16.33203125" customWidth="1"/>
    <col min="17" max="18" width="15.5" customWidth="1"/>
    <col min="19" max="19" width="17.1640625" customWidth="1"/>
    <col min="20" max="20" width="15.1640625" customWidth="1"/>
    <col min="21" max="21" width="10.33203125" customWidth="1"/>
    <col min="22" max="22" width="16.83203125" customWidth="1"/>
    <col min="23" max="24" width="15.5" customWidth="1"/>
    <col min="25" max="25" width="16.5" customWidth="1"/>
    <col min="26" max="27" width="15.83203125" customWidth="1"/>
    <col min="28" max="28" width="16.6640625" customWidth="1"/>
    <col min="29" max="30" width="15.83203125" customWidth="1"/>
    <col min="31" max="31" width="16.5" customWidth="1"/>
    <col min="32" max="32" width="15.1640625" customWidth="1"/>
  </cols>
  <sheetData>
    <row r="1" spans="1:32" x14ac:dyDescent="0.2">
      <c r="A1" s="526"/>
      <c r="B1" s="527"/>
      <c r="C1" s="141"/>
      <c r="D1" s="528" t="s">
        <v>467</v>
      </c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109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</row>
    <row r="2" spans="1:32" x14ac:dyDescent="0.2">
      <c r="A2" s="529" t="s">
        <v>468</v>
      </c>
      <c r="B2" s="529" t="s">
        <v>31</v>
      </c>
      <c r="C2" s="529">
        <v>2013</v>
      </c>
      <c r="D2" s="530"/>
      <c r="E2" s="530"/>
      <c r="F2" s="529">
        <v>2014</v>
      </c>
      <c r="G2" s="530">
        <v>2014</v>
      </c>
      <c r="H2" s="530"/>
      <c r="I2" s="530">
        <v>2015</v>
      </c>
      <c r="J2" s="530"/>
      <c r="K2" s="530"/>
      <c r="L2" s="530">
        <v>2016</v>
      </c>
      <c r="M2" s="530"/>
      <c r="N2" s="530"/>
      <c r="O2" s="530">
        <v>2017</v>
      </c>
      <c r="P2" s="530"/>
      <c r="Q2" s="530"/>
      <c r="R2" s="527">
        <v>2018</v>
      </c>
      <c r="S2" s="527"/>
      <c r="T2" s="527"/>
      <c r="U2" s="527">
        <v>2019</v>
      </c>
      <c r="V2" s="527"/>
      <c r="W2" s="527"/>
      <c r="X2" s="529">
        <v>2020</v>
      </c>
      <c r="Y2" s="529"/>
      <c r="Z2" s="529"/>
      <c r="AA2" s="529">
        <v>2021</v>
      </c>
      <c r="AB2" s="529"/>
      <c r="AC2" s="529"/>
      <c r="AD2" s="529">
        <v>2022</v>
      </c>
      <c r="AE2" s="529"/>
      <c r="AF2" s="529"/>
    </row>
    <row r="3" spans="1:32" ht="32" x14ac:dyDescent="0.2">
      <c r="A3" s="527"/>
      <c r="B3" s="527"/>
      <c r="C3" s="142" t="s">
        <v>469</v>
      </c>
      <c r="D3" s="142" t="s">
        <v>470</v>
      </c>
      <c r="E3" s="142" t="s">
        <v>471</v>
      </c>
      <c r="F3" s="142" t="s">
        <v>469</v>
      </c>
      <c r="G3" s="142" t="s">
        <v>470</v>
      </c>
      <c r="H3" s="142" t="s">
        <v>471</v>
      </c>
      <c r="I3" s="142" t="s">
        <v>469</v>
      </c>
      <c r="J3" s="142" t="s">
        <v>470</v>
      </c>
      <c r="K3" s="142" t="s">
        <v>471</v>
      </c>
      <c r="L3" s="142" t="s">
        <v>469</v>
      </c>
      <c r="M3" s="142" t="s">
        <v>470</v>
      </c>
      <c r="N3" s="142" t="s">
        <v>471</v>
      </c>
      <c r="O3" s="142" t="s">
        <v>469</v>
      </c>
      <c r="P3" s="142" t="s">
        <v>470</v>
      </c>
      <c r="Q3" s="142" t="s">
        <v>471</v>
      </c>
      <c r="R3" s="142" t="s">
        <v>469</v>
      </c>
      <c r="S3" s="142" t="s">
        <v>470</v>
      </c>
      <c r="T3" s="142" t="s">
        <v>471</v>
      </c>
      <c r="U3" s="142" t="s">
        <v>469</v>
      </c>
      <c r="V3" s="142" t="s">
        <v>470</v>
      </c>
      <c r="W3" s="142" t="s">
        <v>471</v>
      </c>
      <c r="X3" s="142" t="s">
        <v>469</v>
      </c>
      <c r="Y3" s="142" t="s">
        <v>470</v>
      </c>
      <c r="Z3" s="142" t="s">
        <v>471</v>
      </c>
      <c r="AA3" s="142" t="s">
        <v>469</v>
      </c>
      <c r="AB3" s="142" t="s">
        <v>470</v>
      </c>
      <c r="AC3" s="142" t="s">
        <v>471</v>
      </c>
      <c r="AD3" s="142" t="s">
        <v>469</v>
      </c>
      <c r="AE3" s="142" t="s">
        <v>470</v>
      </c>
      <c r="AF3" s="142" t="s">
        <v>471</v>
      </c>
    </row>
    <row r="4" spans="1:32" x14ac:dyDescent="0.2">
      <c r="A4" s="143" t="s">
        <v>9</v>
      </c>
      <c r="B4" s="144" t="s">
        <v>709</v>
      </c>
      <c r="C4" s="144">
        <v>69.739999999999995</v>
      </c>
      <c r="D4" s="4">
        <v>0.34899999999999998</v>
      </c>
      <c r="E4" s="4">
        <v>0.13700000000000001</v>
      </c>
      <c r="F4" s="144">
        <v>69.739999999999995</v>
      </c>
      <c r="G4" s="4">
        <v>0.35699999999999998</v>
      </c>
      <c r="H4" s="4">
        <v>0.123</v>
      </c>
      <c r="I4" s="144">
        <v>69.739999999999995</v>
      </c>
      <c r="J4" s="4">
        <v>0.34100000000000003</v>
      </c>
      <c r="K4" s="4">
        <v>0.10299999999999999</v>
      </c>
      <c r="L4" s="4">
        <v>70.12</v>
      </c>
      <c r="M4" s="4">
        <v>0.32500000000000001</v>
      </c>
      <c r="N4" s="4">
        <v>0.106</v>
      </c>
      <c r="O4" s="4">
        <v>73.430000000000007</v>
      </c>
      <c r="P4" s="4">
        <v>0.33900000000000002</v>
      </c>
      <c r="Q4" s="4">
        <v>0.112</v>
      </c>
      <c r="R4" s="4">
        <v>36.39</v>
      </c>
      <c r="S4" s="4">
        <v>0.51600000000000001</v>
      </c>
      <c r="T4" s="4">
        <v>0.20300000000000001</v>
      </c>
      <c r="U4" s="4">
        <v>0</v>
      </c>
      <c r="V4" s="4">
        <v>0</v>
      </c>
      <c r="W4" s="4">
        <v>0</v>
      </c>
      <c r="X4" s="10">
        <v>0</v>
      </c>
      <c r="Y4" s="4">
        <v>0</v>
      </c>
      <c r="Z4" s="4">
        <v>0</v>
      </c>
      <c r="AA4" s="10">
        <v>0</v>
      </c>
      <c r="AB4" s="4">
        <v>0</v>
      </c>
      <c r="AC4" s="4">
        <v>0</v>
      </c>
      <c r="AD4" s="4">
        <v>0</v>
      </c>
      <c r="AE4" s="4">
        <v>0</v>
      </c>
      <c r="AF4" s="4">
        <v>0</v>
      </c>
    </row>
    <row r="5" spans="1:32" x14ac:dyDescent="0.2">
      <c r="A5" s="143"/>
      <c r="B5" s="144"/>
      <c r="C5" s="144"/>
      <c r="D5" s="4">
        <v>0.34799999999999998</v>
      </c>
      <c r="E5" s="4">
        <v>0.121</v>
      </c>
      <c r="F5" s="10"/>
      <c r="G5" s="4">
        <v>0.34100000000000003</v>
      </c>
      <c r="H5" s="4">
        <v>0.113</v>
      </c>
      <c r="I5" s="10"/>
      <c r="J5" s="4">
        <v>0.32200000000000001</v>
      </c>
      <c r="K5" s="4">
        <v>0.107</v>
      </c>
      <c r="L5" s="10"/>
      <c r="M5" s="4">
        <v>0.318</v>
      </c>
      <c r="N5" s="4">
        <v>0.11700000000000001</v>
      </c>
      <c r="O5" s="10"/>
      <c r="P5" s="4">
        <v>0.33100000000000002</v>
      </c>
      <c r="Q5" s="4">
        <v>0.125</v>
      </c>
      <c r="R5" s="10"/>
      <c r="S5" s="4">
        <v>0.50900000000000001</v>
      </c>
      <c r="T5" s="4">
        <v>0.186</v>
      </c>
      <c r="U5" s="10"/>
      <c r="V5" s="4"/>
      <c r="W5" s="4"/>
      <c r="X5" s="10"/>
      <c r="Y5" s="4"/>
      <c r="Z5" s="4"/>
      <c r="AA5" s="10"/>
      <c r="AB5" s="4"/>
      <c r="AC5" s="4"/>
      <c r="AD5" s="10"/>
      <c r="AE5" s="4"/>
      <c r="AF5" s="4"/>
    </row>
    <row r="6" spans="1:32" x14ac:dyDescent="0.2">
      <c r="A6" s="143"/>
      <c r="B6" s="144"/>
      <c r="C6" s="144"/>
      <c r="D6" s="4">
        <v>0.29799999999999999</v>
      </c>
      <c r="E6" s="4">
        <v>0.10199999999999999</v>
      </c>
      <c r="F6" s="10"/>
      <c r="G6" s="4">
        <v>0.32200000000000001</v>
      </c>
      <c r="H6" s="4">
        <v>0.13700000000000001</v>
      </c>
      <c r="I6" s="10"/>
      <c r="J6" s="4">
        <v>0.313</v>
      </c>
      <c r="K6" s="4">
        <v>0.124</v>
      </c>
      <c r="L6" s="10"/>
      <c r="M6" s="4">
        <v>0.33900000000000002</v>
      </c>
      <c r="N6" s="4">
        <v>0.109</v>
      </c>
      <c r="O6" s="10"/>
      <c r="P6" s="4">
        <v>0.34300000000000003</v>
      </c>
      <c r="Q6" s="4">
        <v>0.107</v>
      </c>
      <c r="R6" s="10"/>
      <c r="S6" s="4">
        <v>0.51</v>
      </c>
      <c r="T6" s="4">
        <v>0.18099999999999999</v>
      </c>
      <c r="U6" s="10"/>
      <c r="V6" s="4"/>
      <c r="W6" s="4"/>
      <c r="X6" s="10"/>
      <c r="Y6" s="4"/>
      <c r="Z6" s="4"/>
      <c r="AA6" s="10"/>
      <c r="AB6" s="4"/>
      <c r="AC6" s="4"/>
      <c r="AD6" s="10"/>
      <c r="AE6" s="4"/>
      <c r="AF6" s="4"/>
    </row>
    <row r="7" spans="1:32" x14ac:dyDescent="0.2">
      <c r="A7" s="143"/>
      <c r="B7" s="144"/>
      <c r="C7" s="144"/>
      <c r="D7" s="4">
        <v>0.33800000000000002</v>
      </c>
      <c r="E7" s="4">
        <v>0.14099999999999999</v>
      </c>
      <c r="F7" s="10"/>
      <c r="G7" s="4">
        <v>0.34200000000000003</v>
      </c>
      <c r="H7" s="4">
        <v>0.14399999999999999</v>
      </c>
      <c r="I7" s="10"/>
      <c r="J7" s="4">
        <v>0.35099999999999998</v>
      </c>
      <c r="K7" s="4">
        <v>0.11700000000000001</v>
      </c>
      <c r="L7" s="10"/>
      <c r="M7" s="4">
        <v>0.32700000000000001</v>
      </c>
      <c r="N7" s="4">
        <v>0.104</v>
      </c>
      <c r="O7" s="10"/>
      <c r="P7" s="4">
        <v>0.32800000000000001</v>
      </c>
      <c r="Q7" s="4">
        <v>0.123</v>
      </c>
      <c r="R7" s="10"/>
      <c r="S7" s="4">
        <v>0.51100000000000001</v>
      </c>
      <c r="T7" s="4">
        <v>0.193</v>
      </c>
      <c r="U7" s="10"/>
      <c r="V7" s="4"/>
      <c r="W7" s="4"/>
      <c r="X7" s="10"/>
      <c r="Y7" s="4"/>
      <c r="Z7" s="4"/>
      <c r="AA7" s="10"/>
      <c r="AB7" s="4"/>
      <c r="AC7" s="4"/>
      <c r="AD7" s="10"/>
      <c r="AE7" s="4"/>
      <c r="AF7" s="4"/>
    </row>
    <row r="8" spans="1:32" x14ac:dyDescent="0.2">
      <c r="A8" s="145"/>
      <c r="B8" s="146" t="s">
        <v>472</v>
      </c>
      <c r="C8" s="146">
        <f>C4</f>
        <v>69.739999999999995</v>
      </c>
      <c r="D8" s="147">
        <f>AVERAGE(D4:D7)</f>
        <v>0.33324999999999999</v>
      </c>
      <c r="E8" s="147">
        <f>AVERAGE(E4:E7)</f>
        <v>0.12525</v>
      </c>
      <c r="F8" s="146">
        <f>F4</f>
        <v>69.739999999999995</v>
      </c>
      <c r="G8" s="147">
        <f t="shared" ref="G8:H8" si="0">AVERAGE(G4:G7)</f>
        <v>0.34050000000000002</v>
      </c>
      <c r="H8" s="147">
        <f t="shared" si="0"/>
        <v>0.12925</v>
      </c>
      <c r="I8" s="146">
        <f>I4</f>
        <v>69.739999999999995</v>
      </c>
      <c r="J8" s="147">
        <f t="shared" ref="J8:K8" si="1">AVERAGE(J4:J7)</f>
        <v>0.33174999999999999</v>
      </c>
      <c r="K8" s="147">
        <f t="shared" si="1"/>
        <v>0.11274999999999999</v>
      </c>
      <c r="L8" s="146">
        <f>L4</f>
        <v>70.12</v>
      </c>
      <c r="M8" s="147">
        <f t="shared" ref="M8:N8" si="2">AVERAGE(M4:M7)</f>
        <v>0.32724999999999999</v>
      </c>
      <c r="N8" s="147">
        <f t="shared" si="2"/>
        <v>0.109</v>
      </c>
      <c r="O8" s="146">
        <f t="shared" ref="O8" si="3">SUM(O4:O7)</f>
        <v>73.430000000000007</v>
      </c>
      <c r="P8" s="147">
        <f t="shared" ref="P8:Q8" si="4">AVERAGE(P4:P7)</f>
        <v>0.33525000000000005</v>
      </c>
      <c r="Q8" s="147">
        <f t="shared" si="4"/>
        <v>0.11674999999999999</v>
      </c>
      <c r="R8" s="146">
        <f t="shared" ref="R8" si="5">SUM(R4:R7)</f>
        <v>36.39</v>
      </c>
      <c r="S8" s="147">
        <f t="shared" ref="S8:T8" si="6">AVERAGE(S4:S7)</f>
        <v>0.51149999999999995</v>
      </c>
      <c r="T8" s="147">
        <f t="shared" si="6"/>
        <v>0.19075000000000003</v>
      </c>
      <c r="U8" s="146">
        <f t="shared" ref="U8" si="7">SUM(U4:U7)</f>
        <v>0</v>
      </c>
      <c r="V8" s="147">
        <f t="shared" ref="V8:W8" si="8">AVERAGE(V4:V7)</f>
        <v>0</v>
      </c>
      <c r="W8" s="147">
        <f t="shared" si="8"/>
        <v>0</v>
      </c>
      <c r="X8" s="146">
        <f t="shared" ref="X8" si="9">SUM(X4:X7)</f>
        <v>0</v>
      </c>
      <c r="Y8" s="147">
        <f t="shared" ref="Y8:Z8" si="10">AVERAGE(Y4:Y7)</f>
        <v>0</v>
      </c>
      <c r="Z8" s="147">
        <f t="shared" si="10"/>
        <v>0</v>
      </c>
      <c r="AA8" s="146">
        <f t="shared" ref="AA8" si="11">SUM(AA4:AA7)</f>
        <v>0</v>
      </c>
      <c r="AB8" s="147">
        <f t="shared" ref="AB8:AC8" si="12">AVERAGE(AB4:AB7)</f>
        <v>0</v>
      </c>
      <c r="AC8" s="147">
        <f t="shared" si="12"/>
        <v>0</v>
      </c>
      <c r="AD8" s="146">
        <f t="shared" ref="AD8" si="13">SUM(AD4:AD7)</f>
        <v>0</v>
      </c>
      <c r="AE8" s="147">
        <f t="shared" ref="AE8:AF8" si="14">AVERAGE(AE4:AE7)</f>
        <v>0</v>
      </c>
      <c r="AF8" s="147">
        <f t="shared" si="14"/>
        <v>0</v>
      </c>
    </row>
    <row r="9" spans="1:32" x14ac:dyDescent="0.2">
      <c r="A9" s="148" t="s">
        <v>10</v>
      </c>
      <c r="B9" s="144"/>
      <c r="C9" s="144">
        <v>2344.7328000000002</v>
      </c>
      <c r="D9" s="4">
        <v>0.34899999999999998</v>
      </c>
      <c r="E9" s="4">
        <v>0.13700000000000001</v>
      </c>
      <c r="F9" s="144">
        <v>2344.7328000000002</v>
      </c>
      <c r="G9" s="4">
        <v>0.35699999999999998</v>
      </c>
      <c r="H9" s="4">
        <v>0.123</v>
      </c>
      <c r="I9" s="144">
        <v>2344.7328000000002</v>
      </c>
      <c r="J9" s="4">
        <v>0.34100000000000003</v>
      </c>
      <c r="K9" s="4">
        <v>0.10299999999999999</v>
      </c>
      <c r="L9" s="144">
        <v>2344.7328000000002</v>
      </c>
      <c r="M9" s="4">
        <v>0.32500000000000001</v>
      </c>
      <c r="N9" s="4">
        <v>0.106</v>
      </c>
      <c r="O9" s="144">
        <v>2344.7328000000002</v>
      </c>
      <c r="P9" s="4">
        <v>0.33900000000000002</v>
      </c>
      <c r="Q9" s="4">
        <v>0.112</v>
      </c>
      <c r="R9" s="144">
        <v>0</v>
      </c>
      <c r="S9" s="4">
        <v>0</v>
      </c>
      <c r="T9" s="4">
        <v>0</v>
      </c>
      <c r="U9" s="10">
        <v>512.9</v>
      </c>
      <c r="V9" s="4">
        <v>0.58099999999999996</v>
      </c>
      <c r="W9" s="4">
        <v>0.20399999999999999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10">
        <v>515.6</v>
      </c>
      <c r="AE9" s="4">
        <v>0.64300000000000002</v>
      </c>
      <c r="AF9" s="4">
        <v>0.22700000000000001</v>
      </c>
    </row>
    <row r="10" spans="1:32" x14ac:dyDescent="0.2">
      <c r="A10" s="10"/>
      <c r="B10" s="144"/>
      <c r="C10" s="144"/>
      <c r="D10" s="4">
        <v>0.34799999999999998</v>
      </c>
      <c r="E10" s="4">
        <v>0.121</v>
      </c>
      <c r="F10" s="10"/>
      <c r="G10" s="4">
        <v>0.34100000000000003</v>
      </c>
      <c r="H10" s="4">
        <v>0.113</v>
      </c>
      <c r="I10" s="10"/>
      <c r="J10" s="4">
        <v>0.32200000000000001</v>
      </c>
      <c r="K10" s="4">
        <v>0.107</v>
      </c>
      <c r="L10" s="10"/>
      <c r="M10" s="4">
        <v>0.318</v>
      </c>
      <c r="N10" s="4">
        <v>0.11700000000000001</v>
      </c>
      <c r="O10" s="10"/>
      <c r="P10" s="4">
        <v>0.33100000000000002</v>
      </c>
      <c r="Q10" s="4">
        <v>0.125</v>
      </c>
      <c r="R10" s="10"/>
      <c r="S10" s="4"/>
      <c r="T10" s="4"/>
      <c r="U10" s="10"/>
      <c r="V10" s="4">
        <v>0.54300000000000004</v>
      </c>
      <c r="W10" s="4">
        <v>0.20100000000000001</v>
      </c>
      <c r="X10" s="10"/>
      <c r="Y10" s="4"/>
      <c r="Z10" s="4"/>
      <c r="AA10" s="10"/>
      <c r="AB10" s="4"/>
      <c r="AC10" s="4"/>
      <c r="AD10" s="10"/>
      <c r="AE10" s="4">
        <v>0.65300000000000002</v>
      </c>
      <c r="AF10" s="4">
        <v>0.221</v>
      </c>
    </row>
    <row r="11" spans="1:32" x14ac:dyDescent="0.2">
      <c r="A11" s="10"/>
      <c r="B11" s="144"/>
      <c r="C11" s="144"/>
      <c r="D11" s="4">
        <v>0.29799999999999999</v>
      </c>
      <c r="E11" s="4">
        <v>0.10199999999999999</v>
      </c>
      <c r="F11" s="10"/>
      <c r="G11" s="4">
        <v>0.32200000000000001</v>
      </c>
      <c r="H11" s="4">
        <v>0.13700000000000001</v>
      </c>
      <c r="I11" s="10"/>
      <c r="J11" s="4">
        <v>0.313</v>
      </c>
      <c r="K11" s="4">
        <v>0.124</v>
      </c>
      <c r="L11" s="10"/>
      <c r="M11" s="4">
        <v>0.33900000000000002</v>
      </c>
      <c r="N11" s="4">
        <v>0.109</v>
      </c>
      <c r="O11" s="10"/>
      <c r="P11" s="4">
        <v>0.34300000000000003</v>
      </c>
      <c r="Q11" s="4">
        <v>0.107</v>
      </c>
      <c r="R11" s="10"/>
      <c r="S11" s="4"/>
      <c r="T11" s="4"/>
      <c r="U11" s="10"/>
      <c r="V11" s="4">
        <v>0.59699999999999998</v>
      </c>
      <c r="W11" s="4">
        <v>0.20899999999999999</v>
      </c>
      <c r="X11" s="10"/>
      <c r="Y11" s="4"/>
      <c r="Z11" s="4"/>
      <c r="AA11" s="10"/>
      <c r="AB11" s="4"/>
      <c r="AC11" s="4"/>
      <c r="AD11" s="10"/>
      <c r="AE11" s="4">
        <v>0.63200000000000001</v>
      </c>
      <c r="AF11" s="4">
        <v>0.219</v>
      </c>
    </row>
    <row r="12" spans="1:32" x14ac:dyDescent="0.2">
      <c r="A12" s="10"/>
      <c r="B12" s="144"/>
      <c r="C12" s="144"/>
      <c r="D12" s="4">
        <v>0.27800000000000002</v>
      </c>
      <c r="E12" s="4">
        <v>0.10199999999999999</v>
      </c>
      <c r="F12" s="10"/>
      <c r="G12" s="4">
        <v>0.32200000000000001</v>
      </c>
      <c r="H12" s="4">
        <v>0.13700000000000001</v>
      </c>
      <c r="I12" s="10"/>
      <c r="J12" s="4">
        <v>0.313</v>
      </c>
      <c r="K12" s="4">
        <v>0.124</v>
      </c>
      <c r="L12" s="10"/>
      <c r="M12" s="4">
        <v>0.33900000000000002</v>
      </c>
      <c r="N12" s="4">
        <v>0.109</v>
      </c>
      <c r="O12" s="10"/>
      <c r="P12" s="4">
        <v>0.34300000000000003</v>
      </c>
      <c r="Q12" s="4">
        <v>0.107</v>
      </c>
      <c r="R12" s="10"/>
      <c r="S12" s="4"/>
      <c r="T12" s="4"/>
      <c r="U12" s="10"/>
      <c r="V12" s="4">
        <v>0.59699999999999998</v>
      </c>
      <c r="W12" s="4">
        <v>0.20899999999999999</v>
      </c>
      <c r="X12" s="10"/>
      <c r="Y12" s="4"/>
      <c r="Z12" s="4"/>
      <c r="AA12" s="10"/>
      <c r="AB12" s="4"/>
      <c r="AC12" s="4"/>
      <c r="AD12" s="10"/>
      <c r="AE12" s="4">
        <v>0.63200000000000001</v>
      </c>
      <c r="AF12" s="4">
        <v>0.219</v>
      </c>
    </row>
    <row r="13" spans="1:32" x14ac:dyDescent="0.2">
      <c r="A13" s="10"/>
      <c r="B13" s="144"/>
      <c r="C13" s="144"/>
      <c r="D13" s="4">
        <v>0.33800000000000002</v>
      </c>
      <c r="E13" s="4">
        <v>0.14099999999999999</v>
      </c>
      <c r="F13" s="10"/>
      <c r="G13" s="4">
        <v>0.35199999999999998</v>
      </c>
      <c r="H13" s="4">
        <v>0.14299999999999999</v>
      </c>
      <c r="I13" s="10"/>
      <c r="J13" s="4">
        <v>0.313</v>
      </c>
      <c r="K13" s="4">
        <v>0.124</v>
      </c>
      <c r="L13" s="10"/>
      <c r="M13" s="4">
        <v>0.32700000000000001</v>
      </c>
      <c r="N13" s="4">
        <v>0.104</v>
      </c>
      <c r="O13" s="10"/>
      <c r="P13" s="4">
        <v>0.33700000000000002</v>
      </c>
      <c r="Q13" s="4">
        <v>0.11899999999999999</v>
      </c>
      <c r="R13" s="10"/>
      <c r="S13" s="4"/>
      <c r="T13" s="4"/>
      <c r="U13" s="10"/>
      <c r="V13" s="4">
        <v>0.59699999999999998</v>
      </c>
      <c r="W13" s="4">
        <v>0.20899999999999999</v>
      </c>
      <c r="X13" s="10"/>
      <c r="Y13" s="4"/>
      <c r="Z13" s="4"/>
      <c r="AA13" s="10"/>
      <c r="AB13" s="4"/>
      <c r="AC13" s="4"/>
      <c r="AD13" s="10"/>
      <c r="AE13" s="117">
        <v>0.64480411092500001</v>
      </c>
      <c r="AF13" s="117">
        <v>0.22469588032500001</v>
      </c>
    </row>
    <row r="14" spans="1:32" x14ac:dyDescent="0.2">
      <c r="A14" s="10"/>
      <c r="B14" s="144"/>
      <c r="C14" s="144"/>
      <c r="D14" s="4">
        <v>0.34899999999999998</v>
      </c>
      <c r="E14" s="4">
        <v>0.13700000000000001</v>
      </c>
      <c r="F14" s="10"/>
      <c r="G14" s="4">
        <v>0.35699999999999998</v>
      </c>
      <c r="H14" s="4">
        <v>0.123</v>
      </c>
      <c r="I14" s="10"/>
      <c r="J14" s="4">
        <v>0.34100000000000003</v>
      </c>
      <c r="K14" s="4">
        <v>0.10299999999999999</v>
      </c>
      <c r="L14" s="10"/>
      <c r="M14" s="4">
        <v>0.32500000000000001</v>
      </c>
      <c r="N14" s="4">
        <v>0.106</v>
      </c>
      <c r="O14" s="10"/>
      <c r="P14" s="4">
        <v>0.33900000000000002</v>
      </c>
      <c r="Q14" s="4">
        <v>0.112</v>
      </c>
      <c r="R14" s="10"/>
      <c r="S14" s="4"/>
      <c r="T14" s="4"/>
      <c r="U14" s="10"/>
      <c r="V14" s="4">
        <v>0.58099999999999996</v>
      </c>
      <c r="W14" s="4">
        <v>0.20399999999999999</v>
      </c>
      <c r="X14" s="10"/>
      <c r="Y14" s="4"/>
      <c r="Z14" s="4"/>
      <c r="AA14" s="10"/>
      <c r="AB14" s="4"/>
      <c r="AC14" s="4"/>
      <c r="AD14" s="10"/>
      <c r="AE14" s="4">
        <v>0.64300000000000002</v>
      </c>
      <c r="AF14" s="4">
        <v>0.22700000000000001</v>
      </c>
    </row>
    <row r="15" spans="1:32" x14ac:dyDescent="0.2">
      <c r="A15" s="10"/>
      <c r="B15" s="144"/>
      <c r="C15" s="144"/>
      <c r="D15" s="4">
        <v>0.34799999999999998</v>
      </c>
      <c r="E15" s="4">
        <v>0.121</v>
      </c>
      <c r="F15" s="10"/>
      <c r="G15" s="4">
        <v>0.34100000000000003</v>
      </c>
      <c r="H15" s="4">
        <v>0.113</v>
      </c>
      <c r="I15" s="10"/>
      <c r="J15" s="4">
        <v>0.32200000000000001</v>
      </c>
      <c r="K15" s="4">
        <v>0.107</v>
      </c>
      <c r="L15" s="10"/>
      <c r="M15" s="4">
        <v>0.318</v>
      </c>
      <c r="N15" s="4">
        <v>0.11700000000000001</v>
      </c>
      <c r="O15" s="10"/>
      <c r="P15" s="4">
        <v>0.33100000000000002</v>
      </c>
      <c r="Q15" s="4">
        <v>0.125</v>
      </c>
      <c r="R15" s="10"/>
      <c r="S15" s="4"/>
      <c r="T15" s="4"/>
      <c r="U15" s="10"/>
      <c r="V15" s="4">
        <v>0.54300000000000004</v>
      </c>
      <c r="W15" s="4">
        <v>0.20100000000000001</v>
      </c>
      <c r="X15" s="10"/>
      <c r="Y15" s="4"/>
      <c r="Z15" s="4"/>
      <c r="AA15" s="10"/>
      <c r="AB15" s="4"/>
      <c r="AC15" s="4"/>
      <c r="AD15" s="10"/>
      <c r="AE15" s="4">
        <v>0.65300000000000002</v>
      </c>
      <c r="AF15" s="4">
        <v>0.221</v>
      </c>
    </row>
    <row r="16" spans="1:32" x14ac:dyDescent="0.2">
      <c r="A16" s="145"/>
      <c r="B16" s="146" t="s">
        <v>473</v>
      </c>
      <c r="C16" s="146">
        <f>C9</f>
        <v>2344.7328000000002</v>
      </c>
      <c r="D16" s="147">
        <f>AVERAGE(D9:D15)</f>
        <v>0.32971428571428568</v>
      </c>
      <c r="E16" s="147">
        <f>AVERAGE(E9:E15)</f>
        <v>0.123</v>
      </c>
      <c r="F16" s="146">
        <f>F9</f>
        <v>2344.7328000000002</v>
      </c>
      <c r="G16" s="147">
        <f>AVERAGE(G9:G15)</f>
        <v>0.34171428571428575</v>
      </c>
      <c r="H16" s="147">
        <f>AVERAGE(H9:H15)</f>
        <v>0.127</v>
      </c>
      <c r="I16" s="146">
        <f>I9</f>
        <v>2344.7328000000002</v>
      </c>
      <c r="J16" s="147">
        <f>AVERAGE(J9:J15)</f>
        <v>0.32357142857142851</v>
      </c>
      <c r="K16" s="147">
        <f>AVERAGE(K9:K15)</f>
        <v>0.11314285714285713</v>
      </c>
      <c r="L16" s="146">
        <f>L9</f>
        <v>2344.7328000000002</v>
      </c>
      <c r="M16" s="147">
        <f t="shared" ref="M16:N16" si="15">AVERAGE(M9:M15)</f>
        <v>0.32728571428571429</v>
      </c>
      <c r="N16" s="147">
        <f t="shared" si="15"/>
        <v>0.10971428571428572</v>
      </c>
      <c r="O16" s="146">
        <f t="shared" ref="O16" si="16">SUM(O9:O15)</f>
        <v>2344.7328000000002</v>
      </c>
      <c r="P16" s="147">
        <f t="shared" ref="P16:Q16" si="17">AVERAGE(P9:P15)</f>
        <v>0.33757142857142858</v>
      </c>
      <c r="Q16" s="147">
        <f t="shared" si="17"/>
        <v>0.11528571428571428</v>
      </c>
      <c r="R16" s="146">
        <f t="shared" ref="R16" si="18">SUM(R9:R15)</f>
        <v>0</v>
      </c>
      <c r="S16" s="147">
        <f t="shared" ref="S16:T16" si="19">AVERAGE(S9:S15)</f>
        <v>0</v>
      </c>
      <c r="T16" s="147">
        <f t="shared" si="19"/>
        <v>0</v>
      </c>
      <c r="U16" s="146">
        <f t="shared" ref="U16" si="20">SUM(U9:U15)</f>
        <v>512.9</v>
      </c>
      <c r="V16" s="147">
        <f t="shared" ref="V16:W16" si="21">AVERAGE(V9:V15)</f>
        <v>0.57699999999999996</v>
      </c>
      <c r="W16" s="147">
        <f t="shared" si="21"/>
        <v>0.20528571428571429</v>
      </c>
      <c r="X16" s="146">
        <f t="shared" ref="X16" si="22">SUM(X9:X15)</f>
        <v>0</v>
      </c>
      <c r="Y16" s="147">
        <f t="shared" ref="Y16:Z16" si="23">AVERAGE(Y9:Y15)</f>
        <v>0</v>
      </c>
      <c r="Z16" s="147">
        <f t="shared" si="23"/>
        <v>0</v>
      </c>
      <c r="AA16" s="146">
        <f t="shared" ref="AA16" si="24">SUM(AA9:AA15)</f>
        <v>0</v>
      </c>
      <c r="AB16" s="147">
        <f t="shared" ref="AB16:AC16" si="25">AVERAGE(AB9:AB15)</f>
        <v>0</v>
      </c>
      <c r="AC16" s="147">
        <f t="shared" si="25"/>
        <v>0</v>
      </c>
      <c r="AD16" s="146">
        <f t="shared" ref="AD16" si="26">SUM(AD9:AD15)</f>
        <v>515.6</v>
      </c>
      <c r="AE16" s="147">
        <f t="shared" ref="AE16:AF16" si="27">AVERAGE(AE9:AE15)</f>
        <v>0.64297201584642849</v>
      </c>
      <c r="AF16" s="147">
        <f t="shared" si="27"/>
        <v>0.22267084004642859</v>
      </c>
    </row>
    <row r="17" spans="1:32" x14ac:dyDescent="0.2">
      <c r="A17" s="148" t="s">
        <v>11</v>
      </c>
      <c r="B17" s="4"/>
      <c r="C17" s="144">
        <v>1583.2249999999999</v>
      </c>
      <c r="D17" s="4">
        <v>0.29799999999999999</v>
      </c>
      <c r="E17" s="4">
        <v>0.10199999999999999</v>
      </c>
      <c r="F17" s="144">
        <v>1583.2249999999999</v>
      </c>
      <c r="G17" s="4">
        <v>0.32200000000000001</v>
      </c>
      <c r="H17" s="4">
        <v>0.13700000000000001</v>
      </c>
      <c r="I17" s="144">
        <v>1583.2249999999999</v>
      </c>
      <c r="J17" s="4">
        <v>0.313</v>
      </c>
      <c r="K17" s="4">
        <v>0.124</v>
      </c>
      <c r="L17" s="144">
        <v>1583.2249999999999</v>
      </c>
      <c r="M17" s="4">
        <v>0.33900000000000002</v>
      </c>
      <c r="N17" s="4">
        <v>0.109</v>
      </c>
      <c r="O17" s="144">
        <v>1583.2249999999999</v>
      </c>
      <c r="P17" s="4">
        <v>0.34300000000000003</v>
      </c>
      <c r="Q17" s="4">
        <v>0.107</v>
      </c>
      <c r="R17" s="10"/>
      <c r="S17" s="4">
        <v>0</v>
      </c>
      <c r="T17" s="4">
        <v>0</v>
      </c>
      <c r="U17" s="10">
        <v>0</v>
      </c>
      <c r="V17" s="4">
        <v>0</v>
      </c>
      <c r="W17" s="4">
        <v>0</v>
      </c>
      <c r="X17" s="10">
        <v>0</v>
      </c>
      <c r="Y17" s="4">
        <v>0</v>
      </c>
      <c r="Z17" s="4">
        <v>0</v>
      </c>
      <c r="AA17" s="144">
        <v>1002.13</v>
      </c>
      <c r="AB17" s="4">
        <v>0.61699999999999999</v>
      </c>
      <c r="AC17" s="4">
        <v>0.20499999999999999</v>
      </c>
      <c r="AD17" s="4">
        <v>0</v>
      </c>
      <c r="AE17" s="4">
        <v>0</v>
      </c>
      <c r="AF17" s="4">
        <v>0</v>
      </c>
    </row>
    <row r="18" spans="1:32" x14ac:dyDescent="0.2">
      <c r="A18" s="10"/>
      <c r="B18" s="144"/>
      <c r="C18" s="144"/>
      <c r="D18" s="4">
        <v>0.29799999999999999</v>
      </c>
      <c r="E18" s="4">
        <v>0.10199999999999999</v>
      </c>
      <c r="F18" s="10"/>
      <c r="G18" s="4">
        <v>0.32200000000000001</v>
      </c>
      <c r="H18" s="4">
        <v>0.13700000000000001</v>
      </c>
      <c r="I18" s="10"/>
      <c r="J18" s="4">
        <v>0.313</v>
      </c>
      <c r="K18" s="4">
        <v>0.124</v>
      </c>
      <c r="L18" s="10"/>
      <c r="M18" s="4">
        <v>0.33900000000000002</v>
      </c>
      <c r="N18" s="4">
        <v>0.109</v>
      </c>
      <c r="O18" s="10"/>
      <c r="P18" s="4">
        <v>0.34300000000000003</v>
      </c>
      <c r="Q18" s="4">
        <v>0.107</v>
      </c>
      <c r="R18" s="10"/>
      <c r="S18" s="4"/>
      <c r="T18" s="4"/>
      <c r="U18" s="10"/>
      <c r="V18" s="4"/>
      <c r="W18" s="4"/>
      <c r="X18" s="10"/>
      <c r="Y18" s="4"/>
      <c r="Z18" s="4"/>
      <c r="AA18" s="10"/>
      <c r="AB18" s="4">
        <v>0.61699999999999999</v>
      </c>
      <c r="AC18" s="4">
        <v>0.20499999999999999</v>
      </c>
      <c r="AD18" s="10"/>
      <c r="AE18" s="4"/>
      <c r="AF18" s="4"/>
    </row>
    <row r="19" spans="1:32" x14ac:dyDescent="0.2">
      <c r="A19" s="10"/>
      <c r="B19" s="144"/>
      <c r="C19" s="144"/>
      <c r="D19" s="4">
        <v>0.33800000000000002</v>
      </c>
      <c r="E19" s="4">
        <v>0.14099999999999999</v>
      </c>
      <c r="F19" s="10"/>
      <c r="G19" s="4">
        <v>0.35199999999999998</v>
      </c>
      <c r="H19" s="4">
        <v>0.14299999999999999</v>
      </c>
      <c r="I19" s="10"/>
      <c r="J19" s="4">
        <v>0.313</v>
      </c>
      <c r="K19" s="4">
        <v>0.124</v>
      </c>
      <c r="L19" s="10"/>
      <c r="M19" s="4">
        <v>0.32700000000000001</v>
      </c>
      <c r="N19" s="4">
        <v>0.104</v>
      </c>
      <c r="O19" s="10"/>
      <c r="P19" s="4">
        <v>0.33700000000000002</v>
      </c>
      <c r="Q19" s="4">
        <v>0.11899999999999999</v>
      </c>
      <c r="R19" s="10"/>
      <c r="S19" s="4"/>
      <c r="T19" s="4"/>
      <c r="U19" s="10"/>
      <c r="V19" s="4"/>
      <c r="W19" s="4"/>
      <c r="X19" s="10"/>
      <c r="Y19" s="4"/>
      <c r="Z19" s="4"/>
      <c r="AA19" s="10"/>
      <c r="AB19" s="4">
        <v>0.60799999999999998</v>
      </c>
      <c r="AC19" s="4">
        <v>0.21299999999999999</v>
      </c>
      <c r="AD19" s="10"/>
      <c r="AE19" s="117"/>
      <c r="AF19" s="117"/>
    </row>
    <row r="20" spans="1:32" x14ac:dyDescent="0.2">
      <c r="A20" s="10"/>
      <c r="B20" s="144"/>
      <c r="C20" s="144"/>
      <c r="D20" s="4">
        <v>0.34899999999999998</v>
      </c>
      <c r="E20" s="4">
        <v>0.13700000000000001</v>
      </c>
      <c r="F20" s="10"/>
      <c r="G20" s="4">
        <v>0.35699999999999998</v>
      </c>
      <c r="H20" s="4">
        <v>0.123</v>
      </c>
      <c r="I20" s="10"/>
      <c r="J20" s="4">
        <v>0.34100000000000003</v>
      </c>
      <c r="K20" s="4">
        <v>0.10299999999999999</v>
      </c>
      <c r="L20" s="10"/>
      <c r="M20" s="4">
        <v>0.32500000000000001</v>
      </c>
      <c r="N20" s="4">
        <v>0.106</v>
      </c>
      <c r="O20" s="10"/>
      <c r="P20" s="4">
        <v>0.33900000000000002</v>
      </c>
      <c r="Q20" s="4">
        <v>0.112</v>
      </c>
      <c r="R20" s="10"/>
      <c r="S20" s="4"/>
      <c r="T20" s="4"/>
      <c r="U20" s="10"/>
      <c r="V20" s="4"/>
      <c r="W20" s="4"/>
      <c r="X20" s="10"/>
      <c r="Y20" s="4"/>
      <c r="Z20" s="4"/>
      <c r="AA20" s="10"/>
      <c r="AB20" s="4">
        <v>0.63200000000000001</v>
      </c>
      <c r="AC20" s="4">
        <v>0.218</v>
      </c>
      <c r="AD20" s="10"/>
      <c r="AE20" s="4"/>
      <c r="AF20" s="4"/>
    </row>
    <row r="21" spans="1:32" x14ac:dyDescent="0.2">
      <c r="A21" s="10"/>
      <c r="B21" s="144"/>
      <c r="C21" s="144"/>
      <c r="D21" s="4">
        <v>0.34799999999999998</v>
      </c>
      <c r="E21" s="4">
        <v>0.121</v>
      </c>
      <c r="F21" s="10"/>
      <c r="G21" s="4">
        <v>0.34100000000000003</v>
      </c>
      <c r="H21" s="4">
        <v>0.113</v>
      </c>
      <c r="I21" s="10"/>
      <c r="J21" s="4">
        <v>0.32200000000000001</v>
      </c>
      <c r="K21" s="4">
        <v>0.107</v>
      </c>
      <c r="L21" s="10"/>
      <c r="M21" s="4">
        <v>0.318</v>
      </c>
      <c r="N21" s="4">
        <v>0.11700000000000001</v>
      </c>
      <c r="O21" s="10"/>
      <c r="P21" s="4">
        <v>0.33100000000000002</v>
      </c>
      <c r="Q21" s="4">
        <v>0.125</v>
      </c>
      <c r="R21" s="10"/>
      <c r="S21" s="4"/>
      <c r="T21" s="4"/>
      <c r="U21" s="10"/>
      <c r="V21" s="4"/>
      <c r="W21" s="4"/>
      <c r="X21" s="10"/>
      <c r="Y21" s="4"/>
      <c r="Z21" s="4"/>
      <c r="AA21" s="10"/>
      <c r="AB21" s="4">
        <v>0.625</v>
      </c>
      <c r="AC21" s="4">
        <v>0.20699999999999999</v>
      </c>
      <c r="AD21" s="10"/>
      <c r="AE21" s="4"/>
      <c r="AF21" s="4"/>
    </row>
    <row r="22" spans="1:32" x14ac:dyDescent="0.2">
      <c r="A22" s="145"/>
      <c r="B22" s="146" t="s">
        <v>474</v>
      </c>
      <c r="C22" s="146">
        <f>C17</f>
        <v>1583.2249999999999</v>
      </c>
      <c r="D22" s="147">
        <f>AVERAGE(D17:D21)</f>
        <v>0.32619999999999993</v>
      </c>
      <c r="E22" s="147">
        <f>AVERAGE(E17:E21)</f>
        <v>0.1206</v>
      </c>
      <c r="F22" s="146">
        <f>F17</f>
        <v>1583.2249999999999</v>
      </c>
      <c r="G22" s="147">
        <f t="shared" ref="G22:H22" si="28">AVERAGE(G17:G21)</f>
        <v>0.33879999999999999</v>
      </c>
      <c r="H22" s="147">
        <f t="shared" si="28"/>
        <v>0.13059999999999999</v>
      </c>
      <c r="I22" s="146">
        <f>I17</f>
        <v>1583.2249999999999</v>
      </c>
      <c r="J22" s="147">
        <f t="shared" ref="J22:K22" si="29">AVERAGE(J17:J21)</f>
        <v>0.32040000000000002</v>
      </c>
      <c r="K22" s="147">
        <f t="shared" si="29"/>
        <v>0.11639999999999999</v>
      </c>
      <c r="L22" s="146">
        <f>L17</f>
        <v>1583.2249999999999</v>
      </c>
      <c r="M22" s="147">
        <f t="shared" ref="M22:N22" si="30">AVERAGE(M17:M21)</f>
        <v>0.3296</v>
      </c>
      <c r="N22" s="147">
        <f t="shared" si="30"/>
        <v>0.10900000000000001</v>
      </c>
      <c r="O22" s="146">
        <f t="shared" ref="O22" si="31">SUM(O17:O21)</f>
        <v>1583.2249999999999</v>
      </c>
      <c r="P22" s="147">
        <f t="shared" ref="P22:Q22" si="32">AVERAGE(P17:P21)</f>
        <v>0.33860000000000001</v>
      </c>
      <c r="Q22" s="147">
        <f t="shared" si="32"/>
        <v>0.11399999999999999</v>
      </c>
      <c r="R22" s="146">
        <f t="shared" ref="R22" si="33">SUM(R17:R21)</f>
        <v>0</v>
      </c>
      <c r="S22" s="147">
        <f t="shared" ref="S22:T22" si="34">AVERAGE(S17:S21)</f>
        <v>0</v>
      </c>
      <c r="T22" s="147">
        <f t="shared" si="34"/>
        <v>0</v>
      </c>
      <c r="U22" s="146">
        <f t="shared" ref="U22" si="35">SUM(U17:U21)</f>
        <v>0</v>
      </c>
      <c r="V22" s="147">
        <f t="shared" ref="V22:W22" si="36">AVERAGE(V17:V21)</f>
        <v>0</v>
      </c>
      <c r="W22" s="147">
        <f t="shared" si="36"/>
        <v>0</v>
      </c>
      <c r="X22" s="146">
        <f t="shared" ref="X22" si="37">SUM(X17:X21)</f>
        <v>0</v>
      </c>
      <c r="Y22" s="147">
        <f t="shared" ref="Y22:Z22" si="38">AVERAGE(Y17:Y21)</f>
        <v>0</v>
      </c>
      <c r="Z22" s="147">
        <f t="shared" si="38"/>
        <v>0</v>
      </c>
      <c r="AA22" s="146">
        <f t="shared" ref="AA22" si="39">SUM(AA17:AA21)</f>
        <v>1002.13</v>
      </c>
      <c r="AB22" s="147">
        <f t="shared" ref="AB22:AC22" si="40">AVERAGE(AB17:AB21)</f>
        <v>0.61980000000000002</v>
      </c>
      <c r="AC22" s="147">
        <f t="shared" si="40"/>
        <v>0.20960000000000001</v>
      </c>
      <c r="AD22" s="146">
        <f t="shared" ref="AD22" si="41">SUM(AD17:AD21)</f>
        <v>0</v>
      </c>
      <c r="AE22" s="147">
        <f t="shared" ref="AE22:AF22" si="42">AVERAGE(AE17:AE21)</f>
        <v>0</v>
      </c>
      <c r="AF22" s="147">
        <f t="shared" si="42"/>
        <v>0</v>
      </c>
    </row>
    <row r="23" spans="1:32" x14ac:dyDescent="0.2">
      <c r="A23" s="148" t="s">
        <v>12</v>
      </c>
      <c r="B23" s="4"/>
      <c r="C23" s="144">
        <v>710.58500000000004</v>
      </c>
      <c r="D23" s="4">
        <v>0.29799999999999999</v>
      </c>
      <c r="E23" s="4">
        <v>0.10199999999999999</v>
      </c>
      <c r="F23" s="144">
        <v>710.58500000000004</v>
      </c>
      <c r="G23" s="4">
        <v>0.32200000000000001</v>
      </c>
      <c r="H23" s="4">
        <v>0.13700000000000001</v>
      </c>
      <c r="I23" s="144">
        <v>710.58500000000004</v>
      </c>
      <c r="J23" s="4">
        <v>0.313</v>
      </c>
      <c r="K23" s="4">
        <v>0.124</v>
      </c>
      <c r="L23" s="144">
        <v>710.58500000000004</v>
      </c>
      <c r="M23" s="4">
        <v>0.33900000000000002</v>
      </c>
      <c r="N23" s="4">
        <v>0.109</v>
      </c>
      <c r="O23" s="144">
        <v>710.58500000000004</v>
      </c>
      <c r="P23" s="4">
        <v>0.34300000000000003</v>
      </c>
      <c r="Q23" s="4">
        <v>0.107</v>
      </c>
      <c r="R23" s="4">
        <v>0</v>
      </c>
      <c r="S23" s="4">
        <v>0</v>
      </c>
      <c r="T23" s="4">
        <v>0</v>
      </c>
      <c r="U23" s="10">
        <v>0</v>
      </c>
      <c r="V23" s="4">
        <v>0</v>
      </c>
      <c r="W23" s="4">
        <v>0</v>
      </c>
      <c r="X23" s="10">
        <v>0</v>
      </c>
      <c r="Y23" s="4">
        <v>0</v>
      </c>
      <c r="Z23" s="4">
        <v>0</v>
      </c>
      <c r="AA23" s="10">
        <v>0</v>
      </c>
      <c r="AB23" s="4">
        <v>0</v>
      </c>
      <c r="AC23" s="4">
        <v>0</v>
      </c>
      <c r="AD23" s="10">
        <v>0</v>
      </c>
      <c r="AE23" s="4">
        <v>0.63200000000000001</v>
      </c>
      <c r="AF23" s="4">
        <v>0.219</v>
      </c>
    </row>
    <row r="24" spans="1:32" x14ac:dyDescent="0.2">
      <c r="A24" s="10"/>
      <c r="B24" s="144"/>
      <c r="C24" s="144"/>
      <c r="D24" s="4">
        <v>0.33800000000000002</v>
      </c>
      <c r="E24" s="4">
        <v>0.14099999999999999</v>
      </c>
      <c r="F24" s="10"/>
      <c r="G24" s="4">
        <v>0.35199999999999998</v>
      </c>
      <c r="H24" s="4">
        <v>0.14299999999999999</v>
      </c>
      <c r="I24" s="10"/>
      <c r="J24" s="4">
        <v>0.313</v>
      </c>
      <c r="K24" s="4">
        <v>0.124</v>
      </c>
      <c r="L24" s="10"/>
      <c r="M24" s="4">
        <v>0.32700000000000001</v>
      </c>
      <c r="N24" s="4">
        <v>0.104</v>
      </c>
      <c r="O24" s="10"/>
      <c r="P24" s="4">
        <v>0.33700000000000002</v>
      </c>
      <c r="Q24" s="4">
        <v>0.11899999999999999</v>
      </c>
      <c r="R24" s="10"/>
      <c r="S24" s="4"/>
      <c r="T24" s="4"/>
      <c r="U24" s="10"/>
      <c r="V24" s="4"/>
      <c r="W24" s="4"/>
      <c r="X24" s="10"/>
      <c r="Y24" s="4"/>
      <c r="Z24" s="4"/>
      <c r="AA24" s="10"/>
      <c r="AB24" s="4"/>
      <c r="AC24" s="4"/>
      <c r="AD24" s="10"/>
      <c r="AE24" s="117">
        <v>0.64480411092500001</v>
      </c>
      <c r="AF24" s="117">
        <v>0.22469588032500001</v>
      </c>
    </row>
    <row r="25" spans="1:32" x14ac:dyDescent="0.2">
      <c r="A25" s="10"/>
      <c r="B25" s="144"/>
      <c r="C25" s="144"/>
      <c r="D25" s="4">
        <v>0.34899999999999998</v>
      </c>
      <c r="E25" s="4">
        <v>0.13700000000000001</v>
      </c>
      <c r="F25" s="10"/>
      <c r="G25" s="4">
        <v>0.35699999999999998</v>
      </c>
      <c r="H25" s="4">
        <v>0.123</v>
      </c>
      <c r="I25" s="10"/>
      <c r="J25" s="4">
        <v>0.34100000000000003</v>
      </c>
      <c r="K25" s="4">
        <v>0.10299999999999999</v>
      </c>
      <c r="L25" s="10"/>
      <c r="M25" s="4">
        <v>0.32500000000000001</v>
      </c>
      <c r="N25" s="4">
        <v>0.106</v>
      </c>
      <c r="O25" s="10"/>
      <c r="P25" s="4">
        <v>0.33900000000000002</v>
      </c>
      <c r="Q25" s="4">
        <v>0.112</v>
      </c>
      <c r="R25" s="10"/>
      <c r="S25" s="4"/>
      <c r="T25" s="4"/>
      <c r="U25" s="10"/>
      <c r="V25" s="4"/>
      <c r="W25" s="4"/>
      <c r="X25" s="10"/>
      <c r="Y25" s="4"/>
      <c r="Z25" s="4"/>
      <c r="AA25" s="10"/>
      <c r="AB25" s="4"/>
      <c r="AC25" s="4"/>
      <c r="AD25" s="10"/>
      <c r="AE25" s="4">
        <v>0.64300000000000002</v>
      </c>
      <c r="AF25" s="4">
        <v>0.22700000000000001</v>
      </c>
    </row>
    <row r="26" spans="1:32" x14ac:dyDescent="0.2">
      <c r="A26" s="145"/>
      <c r="B26" s="146" t="s">
        <v>475</v>
      </c>
      <c r="C26" s="146">
        <f>C23</f>
        <v>710.58500000000004</v>
      </c>
      <c r="D26" s="147">
        <f>AVERAGE(D23:D25)</f>
        <v>0.32833333333333331</v>
      </c>
      <c r="E26" s="147">
        <f>AVERAGE(E23:E25)</f>
        <v>0.12666666666666668</v>
      </c>
      <c r="F26" s="146">
        <f>F23</f>
        <v>710.58500000000004</v>
      </c>
      <c r="G26" s="147">
        <f t="shared" ref="G26:H26" si="43">AVERAGE(G23:G25)</f>
        <v>0.34366666666666662</v>
      </c>
      <c r="H26" s="147">
        <f t="shared" si="43"/>
        <v>0.13433333333333333</v>
      </c>
      <c r="I26" s="146">
        <f>I23</f>
        <v>710.58500000000004</v>
      </c>
      <c r="J26" s="147">
        <f t="shared" ref="J26:K26" si="44">AVERAGE(J23:J25)</f>
        <v>0.32233333333333336</v>
      </c>
      <c r="K26" s="147">
        <f t="shared" si="44"/>
        <v>0.11699999999999999</v>
      </c>
      <c r="L26" s="146">
        <f>L23</f>
        <v>710.58500000000004</v>
      </c>
      <c r="M26" s="147">
        <f t="shared" ref="M26:N26" si="45">AVERAGE(M23:M25)</f>
        <v>0.33033333333333337</v>
      </c>
      <c r="N26" s="147">
        <f t="shared" si="45"/>
        <v>0.10633333333333334</v>
      </c>
      <c r="O26" s="146">
        <f t="shared" ref="O26" si="46">SUM(O23:O25)</f>
        <v>710.58500000000004</v>
      </c>
      <c r="P26" s="147">
        <f t="shared" ref="P26:Q26" si="47">AVERAGE(P23:P25)</f>
        <v>0.33966666666666673</v>
      </c>
      <c r="Q26" s="147">
        <f t="shared" si="47"/>
        <v>0.11266666666666665</v>
      </c>
      <c r="R26" s="146">
        <f t="shared" ref="R26" si="48">SUM(R23:R25)</f>
        <v>0</v>
      </c>
      <c r="S26" s="147">
        <f t="shared" ref="S26:T26" si="49">AVERAGE(S23:S25)</f>
        <v>0</v>
      </c>
      <c r="T26" s="147">
        <f t="shared" si="49"/>
        <v>0</v>
      </c>
      <c r="U26" s="146">
        <f t="shared" ref="U26" si="50">SUM(U23:U25)</f>
        <v>0</v>
      </c>
      <c r="V26" s="147">
        <f t="shared" ref="V26:W26" si="51">AVERAGE(V23:V25)</f>
        <v>0</v>
      </c>
      <c r="W26" s="147">
        <f t="shared" si="51"/>
        <v>0</v>
      </c>
      <c r="X26" s="146">
        <f t="shared" ref="X26" si="52">SUM(X23:X25)</f>
        <v>0</v>
      </c>
      <c r="Y26" s="147">
        <f t="shared" ref="Y26:Z26" si="53">AVERAGE(Y23:Y25)</f>
        <v>0</v>
      </c>
      <c r="Z26" s="147">
        <f t="shared" si="53"/>
        <v>0</v>
      </c>
      <c r="AA26" s="146">
        <f t="shared" ref="AA26" si="54">SUM(AA23:AA25)</f>
        <v>0</v>
      </c>
      <c r="AB26" s="147">
        <f t="shared" ref="AB26:AC26" si="55">AVERAGE(AB23:AB25)</f>
        <v>0</v>
      </c>
      <c r="AC26" s="147">
        <f t="shared" si="55"/>
        <v>0</v>
      </c>
      <c r="AD26" s="146">
        <f t="shared" ref="AD26" si="56">SUM(AD23:AD25)</f>
        <v>0</v>
      </c>
      <c r="AE26" s="147">
        <f t="shared" ref="AE26:AF26" si="57">AVERAGE(AE23:AE25)</f>
        <v>0.63993470364166671</v>
      </c>
      <c r="AF26" s="147">
        <f t="shared" si="57"/>
        <v>0.22356529344166667</v>
      </c>
    </row>
    <row r="27" spans="1:32" x14ac:dyDescent="0.2">
      <c r="A27" s="148" t="s">
        <v>13</v>
      </c>
      <c r="B27" s="4"/>
      <c r="C27" s="144">
        <v>184.09</v>
      </c>
      <c r="D27" s="4">
        <v>0.33800000000000002</v>
      </c>
      <c r="E27" s="4">
        <v>0.14099999999999999</v>
      </c>
      <c r="F27" s="144">
        <v>184.09</v>
      </c>
      <c r="G27" s="4">
        <v>0.35199999999999998</v>
      </c>
      <c r="H27" s="4">
        <v>0.14299999999999999</v>
      </c>
      <c r="I27" s="144">
        <v>184.09</v>
      </c>
      <c r="J27" s="4">
        <v>0.313</v>
      </c>
      <c r="K27" s="4">
        <v>0.124</v>
      </c>
      <c r="L27" s="144">
        <v>184.09</v>
      </c>
      <c r="M27" s="4">
        <v>0.32700000000000001</v>
      </c>
      <c r="N27" s="4">
        <v>0.104</v>
      </c>
      <c r="O27" s="144">
        <v>184.09</v>
      </c>
      <c r="P27" s="4">
        <v>0.33700000000000002</v>
      </c>
      <c r="Q27" s="4">
        <v>0.11899999999999999</v>
      </c>
      <c r="R27" s="4">
        <v>0</v>
      </c>
      <c r="S27" s="4">
        <v>0</v>
      </c>
      <c r="T27" s="4">
        <v>0</v>
      </c>
      <c r="U27" s="10">
        <v>0</v>
      </c>
      <c r="V27" s="4">
        <v>0</v>
      </c>
      <c r="W27" s="4">
        <v>0</v>
      </c>
      <c r="X27" s="10">
        <v>0</v>
      </c>
      <c r="Y27" s="4">
        <v>0</v>
      </c>
      <c r="Z27" s="4">
        <v>0</v>
      </c>
      <c r="AA27" s="10">
        <v>0</v>
      </c>
      <c r="AB27" s="4">
        <v>0</v>
      </c>
      <c r="AC27" s="4">
        <v>0</v>
      </c>
      <c r="AD27" s="10">
        <v>76.099999999999994</v>
      </c>
      <c r="AE27" s="117">
        <v>0.64480411092500001</v>
      </c>
      <c r="AF27" s="117">
        <v>0.22469588032500001</v>
      </c>
    </row>
    <row r="28" spans="1:32" x14ac:dyDescent="0.2">
      <c r="A28" s="148"/>
      <c r="B28" s="144"/>
      <c r="C28" s="144"/>
      <c r="D28" s="4">
        <v>0.33700000000000002</v>
      </c>
      <c r="E28" s="4">
        <v>0.13900000000000001</v>
      </c>
      <c r="F28" s="10"/>
      <c r="G28" s="4"/>
      <c r="H28" s="4"/>
      <c r="I28" s="10"/>
      <c r="J28" s="4"/>
      <c r="K28" s="4"/>
      <c r="L28" s="10"/>
      <c r="M28" s="4"/>
      <c r="N28" s="4"/>
      <c r="O28" s="10"/>
      <c r="P28" s="4"/>
      <c r="Q28" s="4"/>
      <c r="R28" s="10"/>
      <c r="S28" s="4"/>
      <c r="T28" s="4"/>
      <c r="U28" s="10"/>
      <c r="V28" s="4"/>
      <c r="W28" s="4"/>
      <c r="X28" s="10"/>
      <c r="Y28" s="4"/>
      <c r="Z28" s="4"/>
      <c r="AA28" s="10"/>
      <c r="AB28" s="4"/>
      <c r="AC28" s="4"/>
      <c r="AD28" s="10"/>
      <c r="AE28" s="117">
        <v>0.64300000000000002</v>
      </c>
      <c r="AF28" s="117">
        <v>0.221</v>
      </c>
    </row>
    <row r="29" spans="1:32" x14ac:dyDescent="0.2">
      <c r="A29" s="148"/>
      <c r="B29" s="144"/>
      <c r="C29" s="144"/>
      <c r="D29" s="4">
        <v>0.33900000000000002</v>
      </c>
      <c r="E29" s="4">
        <v>0.14199999999999999</v>
      </c>
      <c r="F29" s="10"/>
      <c r="G29" s="4"/>
      <c r="H29" s="4"/>
      <c r="I29" s="10"/>
      <c r="J29" s="4"/>
      <c r="K29" s="4"/>
      <c r="L29" s="10"/>
      <c r="M29" s="4"/>
      <c r="N29" s="4"/>
      <c r="O29" s="10"/>
      <c r="P29" s="4"/>
      <c r="Q29" s="4"/>
      <c r="R29" s="10"/>
      <c r="S29" s="4"/>
      <c r="T29" s="4"/>
      <c r="U29" s="10"/>
      <c r="V29" s="4"/>
      <c r="W29" s="4"/>
      <c r="X29" s="10"/>
      <c r="Y29" s="4"/>
      <c r="Z29" s="4"/>
      <c r="AA29" s="10"/>
      <c r="AB29" s="4"/>
      <c r="AC29" s="4"/>
      <c r="AD29" s="10"/>
      <c r="AE29" s="117">
        <v>0.64700000000000002</v>
      </c>
      <c r="AF29" s="117">
        <v>0.22900000000000001</v>
      </c>
    </row>
    <row r="30" spans="1:32" x14ac:dyDescent="0.2">
      <c r="A30" s="145"/>
      <c r="B30" s="146" t="s">
        <v>476</v>
      </c>
      <c r="C30" s="146">
        <f>C27</f>
        <v>184.09</v>
      </c>
      <c r="D30" s="147">
        <f>AVERAGE(D27:D29)</f>
        <v>0.33800000000000002</v>
      </c>
      <c r="E30" s="147">
        <f>AVERAGE(E27:E29)</f>
        <v>0.14066666666666669</v>
      </c>
      <c r="F30" s="146">
        <f>F27</f>
        <v>184.09</v>
      </c>
      <c r="G30" s="147">
        <f t="shared" ref="G30:H30" si="58">AVERAGE(G27:G29)</f>
        <v>0.35199999999999998</v>
      </c>
      <c r="H30" s="147">
        <f t="shared" si="58"/>
        <v>0.14299999999999999</v>
      </c>
      <c r="I30" s="146">
        <f>I27</f>
        <v>184.09</v>
      </c>
      <c r="J30" s="147">
        <f t="shared" ref="J30:K30" si="59">AVERAGE(J27:J29)</f>
        <v>0.313</v>
      </c>
      <c r="K30" s="147">
        <f t="shared" si="59"/>
        <v>0.124</v>
      </c>
      <c r="L30" s="146">
        <f>L27</f>
        <v>184.09</v>
      </c>
      <c r="M30" s="147">
        <f t="shared" ref="M30:N30" si="60">AVERAGE(M27:M29)</f>
        <v>0.32700000000000001</v>
      </c>
      <c r="N30" s="147">
        <f t="shared" si="60"/>
        <v>0.104</v>
      </c>
      <c r="O30" s="146">
        <f t="shared" ref="O30" si="61">SUM(O27:O29)</f>
        <v>184.09</v>
      </c>
      <c r="P30" s="147">
        <f t="shared" ref="P30:Q30" si="62">AVERAGE(P27:P29)</f>
        <v>0.33700000000000002</v>
      </c>
      <c r="Q30" s="147">
        <f t="shared" si="62"/>
        <v>0.11899999999999999</v>
      </c>
      <c r="R30" s="146">
        <f t="shared" ref="R30" si="63">SUM(R27:R29)</f>
        <v>0</v>
      </c>
      <c r="S30" s="147">
        <f t="shared" ref="S30:T30" si="64">AVERAGE(S27:S29)</f>
        <v>0</v>
      </c>
      <c r="T30" s="147">
        <f t="shared" si="64"/>
        <v>0</v>
      </c>
      <c r="U30" s="146">
        <f t="shared" ref="U30" si="65">SUM(U27:U29)</f>
        <v>0</v>
      </c>
      <c r="V30" s="147">
        <f t="shared" ref="V30:W30" si="66">AVERAGE(V27:V29)</f>
        <v>0</v>
      </c>
      <c r="W30" s="147">
        <f t="shared" si="66"/>
        <v>0</v>
      </c>
      <c r="X30" s="146">
        <f t="shared" ref="X30" si="67">SUM(X27:X29)</f>
        <v>0</v>
      </c>
      <c r="Y30" s="147">
        <f t="shared" ref="Y30:Z30" si="68">AVERAGE(Y27:Y29)</f>
        <v>0</v>
      </c>
      <c r="Z30" s="147">
        <f t="shared" si="68"/>
        <v>0</v>
      </c>
      <c r="AA30" s="146">
        <f t="shared" ref="AA30" si="69">SUM(AA27:AA29)</f>
        <v>0</v>
      </c>
      <c r="AB30" s="147">
        <f t="shared" ref="AB30:AC30" si="70">AVERAGE(AB27:AB29)</f>
        <v>0</v>
      </c>
      <c r="AC30" s="147">
        <f t="shared" si="70"/>
        <v>0</v>
      </c>
      <c r="AD30" s="146">
        <f t="shared" ref="AD30" si="71">SUM(AD27:AD29)</f>
        <v>76.099999999999994</v>
      </c>
      <c r="AE30" s="147">
        <f t="shared" ref="AE30:AF30" si="72">AVERAGE(AE27:AE29)</f>
        <v>0.64493470364166672</v>
      </c>
      <c r="AF30" s="147">
        <f t="shared" si="72"/>
        <v>0.22489862677500003</v>
      </c>
    </row>
    <row r="31" spans="1:32" x14ac:dyDescent="0.2">
      <c r="A31" s="148" t="s">
        <v>14</v>
      </c>
      <c r="B31" s="4"/>
      <c r="C31" s="144">
        <v>1746.5800000000002</v>
      </c>
      <c r="D31" s="4">
        <v>0.318</v>
      </c>
      <c r="E31" s="4">
        <v>0.11700000000000001</v>
      </c>
      <c r="F31" s="144">
        <v>1746.5800000000002</v>
      </c>
      <c r="G31" s="4">
        <v>0.33100000000000002</v>
      </c>
      <c r="H31" s="4">
        <v>0.125</v>
      </c>
      <c r="I31" s="144">
        <v>1746.5800000000002</v>
      </c>
      <c r="J31" s="4">
        <v>0.50900000000000001</v>
      </c>
      <c r="K31" s="4">
        <v>0.186</v>
      </c>
      <c r="L31" s="144">
        <v>1746.5800000000002</v>
      </c>
      <c r="M31" s="4">
        <v>0.54300000000000004</v>
      </c>
      <c r="N31" s="4">
        <v>0.20100000000000001</v>
      </c>
      <c r="O31" s="144">
        <v>1746.5800000000002</v>
      </c>
      <c r="P31" s="4">
        <v>0.60699999999999998</v>
      </c>
      <c r="Q31" s="4">
        <v>0.21299999999999999</v>
      </c>
      <c r="R31" s="4">
        <v>0</v>
      </c>
      <c r="S31" s="4">
        <v>0</v>
      </c>
      <c r="T31" s="4">
        <v>0</v>
      </c>
      <c r="U31" s="10">
        <v>0</v>
      </c>
      <c r="V31" s="4">
        <v>0</v>
      </c>
      <c r="W31" s="4">
        <v>0</v>
      </c>
      <c r="X31" s="10">
        <v>0</v>
      </c>
      <c r="Y31" s="4">
        <v>0</v>
      </c>
      <c r="Z31" s="4">
        <v>0</v>
      </c>
      <c r="AA31" s="10">
        <v>0</v>
      </c>
      <c r="AB31" s="4">
        <v>0</v>
      </c>
      <c r="AC31" s="4">
        <v>0</v>
      </c>
      <c r="AD31" s="10">
        <v>0</v>
      </c>
      <c r="AE31" s="4">
        <v>0</v>
      </c>
      <c r="AF31" s="4">
        <v>0</v>
      </c>
    </row>
    <row r="32" spans="1:32" x14ac:dyDescent="0.2">
      <c r="A32" s="10"/>
      <c r="B32" s="144"/>
      <c r="C32" s="144"/>
      <c r="D32" s="4">
        <v>0.33900000000000002</v>
      </c>
      <c r="E32" s="4">
        <v>0.109</v>
      </c>
      <c r="F32" s="10"/>
      <c r="G32" s="4">
        <v>0.34300000000000003</v>
      </c>
      <c r="H32" s="4">
        <v>0.107</v>
      </c>
      <c r="I32" s="10"/>
      <c r="J32" s="4">
        <v>0.51</v>
      </c>
      <c r="K32" s="4">
        <v>0.18099999999999999</v>
      </c>
      <c r="L32" s="10"/>
      <c r="M32" s="4">
        <v>0.59699999999999998</v>
      </c>
      <c r="N32" s="4">
        <v>0.20899999999999999</v>
      </c>
      <c r="O32" s="10"/>
      <c r="P32" s="4">
        <v>0.61499999999999999</v>
      </c>
      <c r="Q32" s="4">
        <v>0.217</v>
      </c>
      <c r="R32" s="10"/>
      <c r="S32" s="4"/>
      <c r="T32" s="4"/>
      <c r="U32" s="10"/>
      <c r="V32" s="4"/>
      <c r="W32" s="4"/>
      <c r="X32" s="10"/>
      <c r="Y32" s="4"/>
      <c r="Z32" s="4"/>
      <c r="AA32" s="10"/>
      <c r="AB32" s="4"/>
      <c r="AC32" s="4"/>
      <c r="AD32" s="10"/>
      <c r="AE32" s="117"/>
      <c r="AF32" s="117"/>
    </row>
    <row r="33" spans="1:32" x14ac:dyDescent="0.2">
      <c r="A33" s="10"/>
      <c r="B33" s="144"/>
      <c r="C33" s="144"/>
      <c r="D33" s="4">
        <v>0.32700000000000001</v>
      </c>
      <c r="E33" s="4">
        <v>0.104</v>
      </c>
      <c r="F33" s="10"/>
      <c r="G33" s="4">
        <v>0.32800000000000001</v>
      </c>
      <c r="H33" s="4">
        <v>0.123</v>
      </c>
      <c r="I33" s="10"/>
      <c r="J33" s="4">
        <v>0.51100000000000001</v>
      </c>
      <c r="K33" s="4">
        <v>0.193</v>
      </c>
      <c r="L33" s="10"/>
      <c r="M33" s="4">
        <v>0.57099999999999995</v>
      </c>
      <c r="N33" s="4">
        <v>0.215</v>
      </c>
      <c r="O33" s="10"/>
      <c r="P33" s="4">
        <v>0.61299999999999999</v>
      </c>
      <c r="Q33" s="4">
        <v>0.20799999999999999</v>
      </c>
      <c r="R33" s="10"/>
      <c r="S33" s="4"/>
      <c r="T33" s="4"/>
      <c r="U33" s="10"/>
      <c r="V33" s="4"/>
      <c r="W33" s="4"/>
      <c r="X33" s="10"/>
      <c r="Y33" s="10"/>
      <c r="Z33" s="10"/>
      <c r="AA33" s="10"/>
      <c r="AB33" s="10"/>
      <c r="AC33" s="10"/>
      <c r="AD33" s="10"/>
      <c r="AE33" s="10"/>
      <c r="AF33" s="10"/>
    </row>
    <row r="34" spans="1:32" x14ac:dyDescent="0.2">
      <c r="A34" s="10"/>
      <c r="B34" s="144"/>
      <c r="C34" s="144"/>
      <c r="D34" s="4">
        <v>0.34799999999999998</v>
      </c>
      <c r="E34" s="4">
        <v>0.121</v>
      </c>
      <c r="F34" s="10"/>
      <c r="G34" s="4">
        <v>0.34100000000000003</v>
      </c>
      <c r="H34" s="4">
        <v>0.113</v>
      </c>
      <c r="I34" s="10"/>
      <c r="J34" s="4">
        <v>0.32200000000000001</v>
      </c>
      <c r="K34" s="4">
        <v>0.107</v>
      </c>
      <c r="L34" s="10"/>
      <c r="M34" s="4">
        <v>0.318</v>
      </c>
      <c r="N34" s="4">
        <v>0.11700000000000001</v>
      </c>
      <c r="O34" s="10"/>
      <c r="P34" s="4">
        <v>0.33100000000000002</v>
      </c>
      <c r="Q34" s="4">
        <v>0.125</v>
      </c>
      <c r="R34" s="10"/>
      <c r="S34" s="4"/>
      <c r="T34" s="4"/>
      <c r="U34" s="10"/>
      <c r="V34" s="4"/>
      <c r="W34" s="4"/>
      <c r="X34" s="10"/>
      <c r="Y34" s="4"/>
      <c r="Z34" s="4"/>
      <c r="AA34" s="10"/>
      <c r="AB34" s="4"/>
      <c r="AC34" s="4"/>
      <c r="AD34" s="10"/>
      <c r="AE34" s="4"/>
      <c r="AF34" s="4"/>
    </row>
    <row r="35" spans="1:32" x14ac:dyDescent="0.2">
      <c r="A35" s="10"/>
      <c r="B35" s="144"/>
      <c r="C35" s="144"/>
      <c r="D35" s="4">
        <v>0.29799999999999999</v>
      </c>
      <c r="E35" s="4">
        <v>0.10199999999999999</v>
      </c>
      <c r="F35" s="10"/>
      <c r="G35" s="4">
        <v>0.32200000000000001</v>
      </c>
      <c r="H35" s="4">
        <v>0.13700000000000001</v>
      </c>
      <c r="I35" s="10"/>
      <c r="J35" s="4">
        <v>0.313</v>
      </c>
      <c r="K35" s="4">
        <v>0.124</v>
      </c>
      <c r="L35" s="10"/>
      <c r="M35" s="4">
        <v>0.33900000000000002</v>
      </c>
      <c r="N35" s="4">
        <v>0.109</v>
      </c>
      <c r="O35" s="10"/>
      <c r="P35" s="4">
        <v>0.34300000000000003</v>
      </c>
      <c r="Q35" s="4">
        <v>0.107</v>
      </c>
      <c r="R35" s="10"/>
      <c r="S35" s="4"/>
      <c r="T35" s="4"/>
      <c r="U35" s="10"/>
      <c r="V35" s="4"/>
      <c r="W35" s="4"/>
      <c r="X35" s="10"/>
      <c r="Y35" s="4"/>
      <c r="Z35" s="4"/>
      <c r="AA35" s="10"/>
      <c r="AB35" s="4"/>
      <c r="AC35" s="4"/>
      <c r="AD35" s="10"/>
      <c r="AE35" s="4"/>
      <c r="AF35" s="4"/>
    </row>
    <row r="36" spans="1:32" x14ac:dyDescent="0.2">
      <c r="A36" s="145"/>
      <c r="B36" s="146" t="s">
        <v>477</v>
      </c>
      <c r="C36" s="146">
        <f>C31</f>
        <v>1746.5800000000002</v>
      </c>
      <c r="D36" s="147">
        <f>AVERAGE(D31:D35)</f>
        <v>0.32599999999999996</v>
      </c>
      <c r="E36" s="147">
        <f>AVERAGE(E31:E35)</f>
        <v>0.1106</v>
      </c>
      <c r="F36" s="146">
        <f>F31</f>
        <v>1746.5800000000002</v>
      </c>
      <c r="G36" s="147">
        <f t="shared" ref="G36:H36" si="73">AVERAGE(G31:G35)</f>
        <v>0.33300000000000002</v>
      </c>
      <c r="H36" s="147">
        <f t="shared" si="73"/>
        <v>0.121</v>
      </c>
      <c r="I36" s="146">
        <f>I31</f>
        <v>1746.5800000000002</v>
      </c>
      <c r="J36" s="147">
        <f t="shared" ref="J36:K36" si="74">AVERAGE(J31:J35)</f>
        <v>0.43300000000000011</v>
      </c>
      <c r="K36" s="147">
        <f t="shared" si="74"/>
        <v>0.15820000000000001</v>
      </c>
      <c r="L36" s="146">
        <f>L31</f>
        <v>1746.5800000000002</v>
      </c>
      <c r="M36" s="147">
        <f t="shared" ref="M36:N36" si="75">AVERAGE(M31:M35)</f>
        <v>0.47359999999999997</v>
      </c>
      <c r="N36" s="147">
        <f t="shared" si="75"/>
        <v>0.17019999999999999</v>
      </c>
      <c r="O36" s="146">
        <f t="shared" ref="O36" si="76">SUM(O31:O35)</f>
        <v>1746.5800000000002</v>
      </c>
      <c r="P36" s="147">
        <f t="shared" ref="P36:Q36" si="77">AVERAGE(P31:P35)</f>
        <v>0.50180000000000002</v>
      </c>
      <c r="Q36" s="147">
        <f t="shared" si="77"/>
        <v>0.17399999999999999</v>
      </c>
      <c r="R36" s="146">
        <f t="shared" ref="R36" si="78">SUM(R31:R35)</f>
        <v>0</v>
      </c>
      <c r="S36" s="147">
        <f t="shared" ref="S36:T36" si="79">AVERAGE(S31:S35)</f>
        <v>0</v>
      </c>
      <c r="T36" s="147">
        <f t="shared" si="79"/>
        <v>0</v>
      </c>
      <c r="U36" s="146">
        <f t="shared" ref="U36" si="80">SUM(U31:U35)</f>
        <v>0</v>
      </c>
      <c r="V36" s="147">
        <f t="shared" ref="V36:W36" si="81">AVERAGE(V31:V35)</f>
        <v>0</v>
      </c>
      <c r="W36" s="147">
        <f t="shared" si="81"/>
        <v>0</v>
      </c>
      <c r="X36" s="146">
        <f t="shared" ref="X36" si="82">SUM(X31:X35)</f>
        <v>0</v>
      </c>
      <c r="Y36" s="147">
        <f t="shared" ref="Y36:Z36" si="83">AVERAGE(Y31:Y35)</f>
        <v>0</v>
      </c>
      <c r="Z36" s="147">
        <f t="shared" si="83"/>
        <v>0</v>
      </c>
      <c r="AA36" s="146">
        <f t="shared" ref="AA36" si="84">SUM(AA31:AA35)</f>
        <v>0</v>
      </c>
      <c r="AB36" s="147">
        <f t="shared" ref="AB36:AC36" si="85">AVERAGE(AB31:AB35)</f>
        <v>0</v>
      </c>
      <c r="AC36" s="147">
        <f t="shared" si="85"/>
        <v>0</v>
      </c>
      <c r="AD36" s="146">
        <f t="shared" ref="AD36" si="86">SUM(AD31:AD35)</f>
        <v>0</v>
      </c>
      <c r="AE36" s="147">
        <f t="shared" ref="AE36:AF36" si="87">AVERAGE(AE31:AE35)</f>
        <v>0</v>
      </c>
      <c r="AF36" s="147">
        <f t="shared" si="87"/>
        <v>0</v>
      </c>
    </row>
    <row r="37" spans="1:32" x14ac:dyDescent="0.2">
      <c r="A37" s="149" t="s">
        <v>15</v>
      </c>
      <c r="B37" s="4"/>
      <c r="C37" s="144">
        <v>350</v>
      </c>
      <c r="D37" s="4">
        <v>0.34699999999999998</v>
      </c>
      <c r="E37" s="4">
        <v>0.13200000000000001</v>
      </c>
      <c r="F37" s="144">
        <v>1200</v>
      </c>
      <c r="G37" s="4">
        <v>0.35199999999999998</v>
      </c>
      <c r="H37" s="4">
        <v>0.14299999999999999</v>
      </c>
      <c r="I37" s="4">
        <v>620</v>
      </c>
      <c r="J37" s="4">
        <v>0.33200000000000002</v>
      </c>
      <c r="K37" s="4">
        <v>0.113</v>
      </c>
      <c r="L37" s="4">
        <v>350</v>
      </c>
      <c r="M37" s="4">
        <v>0.33200000000000002</v>
      </c>
      <c r="N37" s="4">
        <v>0.113</v>
      </c>
      <c r="O37" s="4">
        <v>620</v>
      </c>
      <c r="P37" s="4">
        <v>0.33700000000000002</v>
      </c>
      <c r="Q37" s="4">
        <v>0.11899999999999999</v>
      </c>
      <c r="R37" s="4">
        <v>1200</v>
      </c>
      <c r="S37" s="10">
        <v>0.503</v>
      </c>
      <c r="T37" s="4">
        <v>0.19700000000000001</v>
      </c>
      <c r="U37" s="4">
        <v>1200</v>
      </c>
      <c r="V37" s="117">
        <v>0.58565</v>
      </c>
      <c r="W37" s="117">
        <v>0.20685000000000001</v>
      </c>
      <c r="X37" s="10">
        <v>620</v>
      </c>
      <c r="Y37" s="117">
        <v>0.61239034999999997</v>
      </c>
      <c r="Z37" s="117">
        <v>0.21491715</v>
      </c>
      <c r="AA37" s="10">
        <v>1200</v>
      </c>
      <c r="AB37" s="117">
        <v>0.62663815700000003</v>
      </c>
      <c r="AC37" s="117">
        <v>0.21921549300000001</v>
      </c>
      <c r="AD37" s="10">
        <v>1200</v>
      </c>
      <c r="AE37" s="117">
        <v>0.64480411092500001</v>
      </c>
      <c r="AF37" s="117">
        <v>0.22469588032500001</v>
      </c>
    </row>
    <row r="38" spans="1:32" x14ac:dyDescent="0.2">
      <c r="A38" s="148"/>
      <c r="B38" s="144"/>
      <c r="C38" s="144"/>
      <c r="D38" s="4">
        <v>0.34899999999999998</v>
      </c>
      <c r="E38" s="4">
        <v>0.13700000000000001</v>
      </c>
      <c r="F38" s="10"/>
      <c r="G38" s="4">
        <v>0.35699999999999998</v>
      </c>
      <c r="H38" s="4">
        <v>0.123</v>
      </c>
      <c r="I38" s="10"/>
      <c r="J38" s="4">
        <v>0.34100000000000003</v>
      </c>
      <c r="K38" s="4">
        <v>0.10299999999999999</v>
      </c>
      <c r="L38" s="10"/>
      <c r="M38" s="4">
        <v>0.32500000000000001</v>
      </c>
      <c r="N38" s="4">
        <v>0.106</v>
      </c>
      <c r="O38" s="10"/>
      <c r="P38" s="4">
        <v>0.33900000000000002</v>
      </c>
      <c r="Q38" s="4">
        <v>0.112</v>
      </c>
      <c r="R38" s="10"/>
      <c r="S38" s="4">
        <v>0.51600000000000001</v>
      </c>
      <c r="T38" s="4">
        <v>0.20300000000000001</v>
      </c>
      <c r="U38" s="10"/>
      <c r="V38" s="4">
        <v>0.58099999999999996</v>
      </c>
      <c r="W38" s="4">
        <v>0.20399999999999999</v>
      </c>
      <c r="X38" s="10"/>
      <c r="Y38" s="4">
        <v>0.60399999999999998</v>
      </c>
      <c r="Z38" s="4">
        <v>0.21</v>
      </c>
      <c r="AA38" s="10"/>
      <c r="AB38" s="4">
        <v>0.63200000000000001</v>
      </c>
      <c r="AC38" s="4">
        <v>0.218</v>
      </c>
      <c r="AD38" s="10"/>
      <c r="AE38" s="4">
        <v>0.64300000000000002</v>
      </c>
      <c r="AF38" s="4">
        <v>0.22700000000000001</v>
      </c>
    </row>
    <row r="39" spans="1:32" x14ac:dyDescent="0.2">
      <c r="A39" s="148"/>
      <c r="B39" s="144"/>
      <c r="C39" s="144"/>
      <c r="D39" s="4">
        <v>0.34799999999999998</v>
      </c>
      <c r="E39" s="4">
        <v>0.121</v>
      </c>
      <c r="F39" s="10"/>
      <c r="G39" s="4">
        <v>0.34100000000000003</v>
      </c>
      <c r="H39" s="4">
        <v>0.113</v>
      </c>
      <c r="I39" s="10"/>
      <c r="J39" s="4">
        <v>0.32200000000000001</v>
      </c>
      <c r="K39" s="4">
        <v>0.107</v>
      </c>
      <c r="L39" s="10"/>
      <c r="M39" s="4">
        <v>0.318</v>
      </c>
      <c r="N39" s="4">
        <v>0.11700000000000001</v>
      </c>
      <c r="O39" s="10"/>
      <c r="P39" s="4">
        <v>0.33100000000000002</v>
      </c>
      <c r="Q39" s="4">
        <v>0.125</v>
      </c>
      <c r="R39" s="10"/>
      <c r="S39" s="4">
        <v>0.50900000000000001</v>
      </c>
      <c r="T39" s="4">
        <v>0.186</v>
      </c>
      <c r="U39" s="10"/>
      <c r="V39" s="4">
        <v>0.54300000000000004</v>
      </c>
      <c r="W39" s="4">
        <v>0.20100000000000001</v>
      </c>
      <c r="X39" s="10"/>
      <c r="Y39" s="4">
        <v>0.60699999999999998</v>
      </c>
      <c r="Z39" s="4">
        <v>0.21299999999999999</v>
      </c>
      <c r="AA39" s="10"/>
      <c r="AB39" s="4">
        <v>0.625</v>
      </c>
      <c r="AC39" s="4">
        <v>0.20699999999999999</v>
      </c>
      <c r="AD39" s="10"/>
      <c r="AE39" s="4">
        <v>0.65300000000000002</v>
      </c>
      <c r="AF39" s="4">
        <v>0.221</v>
      </c>
    </row>
    <row r="40" spans="1:32" x14ac:dyDescent="0.2">
      <c r="A40" s="148"/>
      <c r="B40" s="144"/>
      <c r="C40" s="144"/>
      <c r="D40" s="4">
        <v>0.29799999999999999</v>
      </c>
      <c r="E40" s="4">
        <v>0.10199999999999999</v>
      </c>
      <c r="F40" s="10"/>
      <c r="G40" s="4">
        <v>0.32200000000000001</v>
      </c>
      <c r="H40" s="4">
        <v>0.13700000000000001</v>
      </c>
      <c r="I40" s="10"/>
      <c r="J40" s="4">
        <v>0.313</v>
      </c>
      <c r="K40" s="4">
        <v>0.124</v>
      </c>
      <c r="L40" s="10"/>
      <c r="M40" s="4">
        <v>0.33900000000000002</v>
      </c>
      <c r="N40" s="4">
        <v>0.109</v>
      </c>
      <c r="O40" s="10"/>
      <c r="P40" s="4">
        <v>0.34300000000000003</v>
      </c>
      <c r="Q40" s="4">
        <v>0.107</v>
      </c>
      <c r="R40" s="10"/>
      <c r="S40" s="4">
        <v>0.51</v>
      </c>
      <c r="T40" s="4">
        <v>0.18099999999999999</v>
      </c>
      <c r="U40" s="10"/>
      <c r="V40" s="4">
        <v>0.59699999999999998</v>
      </c>
      <c r="W40" s="4">
        <v>0.20899999999999999</v>
      </c>
      <c r="X40" s="10"/>
      <c r="Y40" s="4">
        <v>0.61499999999999999</v>
      </c>
      <c r="Z40" s="4">
        <v>0.217</v>
      </c>
      <c r="AA40" s="10"/>
      <c r="AB40" s="4">
        <v>0.61699999999999999</v>
      </c>
      <c r="AC40" s="4">
        <v>0.20499999999999999</v>
      </c>
      <c r="AD40" s="10"/>
      <c r="AE40" s="4">
        <v>0.63200000000000001</v>
      </c>
      <c r="AF40" s="4">
        <v>0.219</v>
      </c>
    </row>
    <row r="41" spans="1:32" x14ac:dyDescent="0.2">
      <c r="A41" s="148"/>
      <c r="B41" s="144"/>
      <c r="C41" s="144"/>
      <c r="D41" s="4">
        <v>0.33800000000000002</v>
      </c>
      <c r="E41" s="4">
        <v>0.14099999999999999</v>
      </c>
      <c r="F41" s="10"/>
      <c r="G41" s="4">
        <v>0.34200000000000003</v>
      </c>
      <c r="H41" s="4">
        <v>0.14399999999999999</v>
      </c>
      <c r="I41" s="10"/>
      <c r="J41" s="4">
        <v>0.35099999999999998</v>
      </c>
      <c r="K41" s="4">
        <v>0.11700000000000001</v>
      </c>
      <c r="L41" s="10"/>
      <c r="M41" s="4">
        <v>0.32700000000000001</v>
      </c>
      <c r="N41" s="4">
        <v>0.104</v>
      </c>
      <c r="O41" s="10"/>
      <c r="P41" s="4">
        <v>0.32800000000000001</v>
      </c>
      <c r="Q41" s="4">
        <v>0.123</v>
      </c>
      <c r="R41" s="10"/>
      <c r="S41" s="4">
        <v>0.51100000000000001</v>
      </c>
      <c r="T41" s="4">
        <v>0.193</v>
      </c>
      <c r="U41" s="10"/>
      <c r="V41" s="4">
        <v>0.57099999999999995</v>
      </c>
      <c r="W41" s="4">
        <v>0.215</v>
      </c>
      <c r="X41" s="10"/>
      <c r="Y41" s="4">
        <v>0.61299999999999999</v>
      </c>
      <c r="Z41" s="4">
        <v>0.20799999999999999</v>
      </c>
      <c r="AA41" s="10"/>
      <c r="AB41" s="4">
        <v>0.60799999999999998</v>
      </c>
      <c r="AC41" s="4">
        <v>0.21299999999999999</v>
      </c>
      <c r="AD41" s="10"/>
      <c r="AE41" s="4">
        <v>0.621</v>
      </c>
      <c r="AF41" s="4">
        <v>0.22700000000000001</v>
      </c>
    </row>
    <row r="42" spans="1:32" x14ac:dyDescent="0.2">
      <c r="A42" s="145"/>
      <c r="B42" s="146" t="s">
        <v>478</v>
      </c>
      <c r="C42" s="146">
        <f>C37</f>
        <v>350</v>
      </c>
      <c r="D42" s="147">
        <f>AVERAGE(D37:D41)</f>
        <v>0.33600000000000002</v>
      </c>
      <c r="E42" s="147">
        <f>AVERAGE(E37:E41)</f>
        <v>0.12659999999999999</v>
      </c>
      <c r="F42" s="146">
        <f>F37</f>
        <v>1200</v>
      </c>
      <c r="G42" s="147">
        <f>AVERAGE(G37:G41)</f>
        <v>0.34280000000000005</v>
      </c>
      <c r="H42" s="147">
        <f>AVERAGE(H37:H41)</f>
        <v>0.13200000000000001</v>
      </c>
      <c r="I42" s="146">
        <f>I37</f>
        <v>620</v>
      </c>
      <c r="J42" s="147">
        <f>AVERAGE(J37:J41)</f>
        <v>0.33179999999999998</v>
      </c>
      <c r="K42" s="147">
        <f>AVERAGE(K37:K41)</f>
        <v>0.11280000000000001</v>
      </c>
      <c r="L42" s="146">
        <f>L37</f>
        <v>350</v>
      </c>
      <c r="M42" s="147">
        <f>AVERAGE(M37:M41)</f>
        <v>0.32819999999999999</v>
      </c>
      <c r="N42" s="147">
        <f>AVERAGE(N37:N41)</f>
        <v>0.10980000000000001</v>
      </c>
      <c r="O42" s="146">
        <f>SUM(O37:O41)</f>
        <v>620</v>
      </c>
      <c r="P42" s="147">
        <f>AVERAGE(P37:P41)</f>
        <v>0.33560000000000001</v>
      </c>
      <c r="Q42" s="147">
        <f>AVERAGE(Q37:Q41)</f>
        <v>0.1172</v>
      </c>
      <c r="R42" s="146">
        <f>SUM(R37:R41)</f>
        <v>1200</v>
      </c>
      <c r="S42" s="147">
        <f>AVERAGE(S37:S41)</f>
        <v>0.50980000000000003</v>
      </c>
      <c r="T42" s="147">
        <f>AVERAGE(T37:T41)</f>
        <v>0.19200000000000003</v>
      </c>
      <c r="U42" s="146">
        <f>SUM(U37:U41)</f>
        <v>1200</v>
      </c>
      <c r="V42" s="147">
        <f>AVERAGE(V37:V41)</f>
        <v>0.57552999999999999</v>
      </c>
      <c r="W42" s="147">
        <f>AVERAGE(W37:W41)</f>
        <v>0.20716999999999999</v>
      </c>
      <c r="X42" s="146">
        <f>SUM(X37:X41)</f>
        <v>620</v>
      </c>
      <c r="Y42" s="147">
        <f>AVERAGE(Y37:Y41)</f>
        <v>0.61027806999999989</v>
      </c>
      <c r="Z42" s="147">
        <f>AVERAGE(Z37:Z41)</f>
        <v>0.21258342999999996</v>
      </c>
      <c r="AA42" s="146">
        <f>SUM(AA37:AA41)</f>
        <v>1200</v>
      </c>
      <c r="AB42" s="147">
        <f>AVERAGE(AB37:AB41)</f>
        <v>0.62172763139999998</v>
      </c>
      <c r="AC42" s="147">
        <f>AVERAGE(AC37:AC41)</f>
        <v>0.21244309860000002</v>
      </c>
      <c r="AD42" s="146">
        <f>SUM(AD37:AD41)</f>
        <v>1200</v>
      </c>
      <c r="AE42" s="147">
        <f>AVERAGE(AE37:AE41)</f>
        <v>0.63876082218499997</v>
      </c>
      <c r="AF42" s="147">
        <f>AVERAGE(AF37:AF41)</f>
        <v>0.22373917606499999</v>
      </c>
    </row>
    <row r="43" spans="1:32" x14ac:dyDescent="0.2">
      <c r="A43" s="149" t="s">
        <v>16</v>
      </c>
      <c r="B43" s="4"/>
      <c r="C43" s="144">
        <v>231.14</v>
      </c>
      <c r="D43" s="10">
        <v>0.35099999999999998</v>
      </c>
      <c r="E43" s="144">
        <v>0.14099999999999999</v>
      </c>
      <c r="F43" s="144">
        <v>231.14</v>
      </c>
      <c r="G43" s="144">
        <v>0.35299999999999998</v>
      </c>
      <c r="H43" s="144">
        <v>0.14299999999999999</v>
      </c>
      <c r="I43" s="144">
        <v>231.14</v>
      </c>
      <c r="J43" s="144">
        <v>0.34699999999999998</v>
      </c>
      <c r="K43" s="144">
        <v>0.14099999999999999</v>
      </c>
      <c r="L43" s="144">
        <v>231.14</v>
      </c>
      <c r="M43" s="144">
        <v>0.35599999999999998</v>
      </c>
      <c r="N43" s="144">
        <v>0.14799999999999999</v>
      </c>
      <c r="O43" s="144">
        <v>231.14</v>
      </c>
      <c r="P43" s="144">
        <v>0.34200000000000003</v>
      </c>
      <c r="Q43" s="144">
        <v>0.152</v>
      </c>
      <c r="R43" s="98">
        <v>231.14</v>
      </c>
      <c r="S43" s="144">
        <v>0.51300000000000001</v>
      </c>
      <c r="T43" s="144">
        <v>0.187</v>
      </c>
      <c r="U43" s="98">
        <v>231.14</v>
      </c>
      <c r="V43" s="144">
        <v>0.57499999999999996</v>
      </c>
      <c r="W43" s="144">
        <v>0.20499999999999999</v>
      </c>
      <c r="X43" s="98">
        <v>231.14</v>
      </c>
      <c r="Y43" s="144">
        <v>0.60099999999999998</v>
      </c>
      <c r="Z43" s="144">
        <v>0.21299999999999999</v>
      </c>
      <c r="AA43" s="98">
        <v>231.14</v>
      </c>
      <c r="AB43" s="144">
        <v>0.621</v>
      </c>
      <c r="AC43" s="144">
        <v>0.21099999999999999</v>
      </c>
      <c r="AD43" s="98">
        <v>231.14</v>
      </c>
      <c r="AE43" s="144">
        <v>0.61899999999999999</v>
      </c>
      <c r="AF43" s="144">
        <v>0.22700000000000001</v>
      </c>
    </row>
    <row r="44" spans="1:32" x14ac:dyDescent="0.2">
      <c r="A44" s="148"/>
      <c r="B44" s="144"/>
      <c r="C44" s="144"/>
      <c r="D44" s="4">
        <v>0.34799999999999998</v>
      </c>
      <c r="E44" s="4">
        <v>0.121</v>
      </c>
      <c r="F44" s="10"/>
      <c r="G44" s="4">
        <v>0.34100000000000003</v>
      </c>
      <c r="H44" s="4">
        <v>0.113</v>
      </c>
      <c r="I44" s="10"/>
      <c r="J44" s="4">
        <v>0.34100000000000003</v>
      </c>
      <c r="K44" s="4">
        <v>0.10299999999999999</v>
      </c>
      <c r="L44" s="10"/>
      <c r="M44" s="4">
        <v>0.32500000000000001</v>
      </c>
      <c r="N44" s="4">
        <v>0.106</v>
      </c>
      <c r="O44" s="10"/>
      <c r="P44" s="4">
        <v>0.34300000000000003</v>
      </c>
      <c r="Q44" s="4">
        <v>0.107</v>
      </c>
      <c r="R44" s="10"/>
      <c r="S44" s="4">
        <v>0.50900000000000001</v>
      </c>
      <c r="T44" s="4">
        <v>0.186</v>
      </c>
      <c r="U44" s="10"/>
      <c r="V44" s="4">
        <v>0.54300000000000004</v>
      </c>
      <c r="W44" s="4">
        <v>0.20100000000000001</v>
      </c>
      <c r="X44" s="10"/>
      <c r="Y44" s="4">
        <v>0.60699999999999998</v>
      </c>
      <c r="Z44" s="4">
        <v>0.21299999999999999</v>
      </c>
      <c r="AA44" s="10"/>
      <c r="AB44" s="4">
        <v>0.625</v>
      </c>
      <c r="AC44" s="4">
        <v>0.20699999999999999</v>
      </c>
      <c r="AD44" s="10"/>
      <c r="AE44" s="4">
        <v>0.63200000000000001</v>
      </c>
      <c r="AF44" s="4">
        <v>0.219</v>
      </c>
    </row>
    <row r="45" spans="1:32" x14ac:dyDescent="0.2">
      <c r="A45" s="148"/>
      <c r="B45" s="144"/>
      <c r="C45" s="144"/>
      <c r="D45" s="4">
        <v>0.33800000000000002</v>
      </c>
      <c r="E45" s="4">
        <v>0.14099999999999999</v>
      </c>
      <c r="F45" s="10"/>
      <c r="G45" s="4">
        <v>0.35199999999999998</v>
      </c>
      <c r="H45" s="4">
        <v>0.14299999999999999</v>
      </c>
      <c r="I45" s="10"/>
      <c r="J45" s="4">
        <v>0.313</v>
      </c>
      <c r="K45" s="4">
        <v>0.124</v>
      </c>
      <c r="L45" s="10"/>
      <c r="M45" s="4">
        <v>0.32700000000000001</v>
      </c>
      <c r="N45" s="4">
        <v>0.104</v>
      </c>
      <c r="O45" s="10"/>
      <c r="P45" s="4">
        <v>0.33700000000000002</v>
      </c>
      <c r="Q45" s="4">
        <v>0.11899999999999999</v>
      </c>
      <c r="R45" s="10"/>
      <c r="S45" s="4">
        <v>0.51600000000000001</v>
      </c>
      <c r="T45" s="4">
        <v>0.20300000000000001</v>
      </c>
      <c r="U45" s="10"/>
      <c r="V45" s="4">
        <v>0.59699999999999998</v>
      </c>
      <c r="W45" s="4">
        <v>0.20899999999999999</v>
      </c>
      <c r="X45" s="10"/>
      <c r="Y45" s="4">
        <v>0.61499999999999999</v>
      </c>
      <c r="Z45" s="4">
        <v>0.217</v>
      </c>
      <c r="AA45" s="10"/>
      <c r="AB45" s="4">
        <v>0.60799999999999998</v>
      </c>
      <c r="AC45" s="4">
        <v>0.21299999999999999</v>
      </c>
      <c r="AD45" s="10"/>
      <c r="AE45" s="117">
        <v>0.64480411092500001</v>
      </c>
      <c r="AF45" s="117">
        <v>0.22469588032500001</v>
      </c>
    </row>
    <row r="46" spans="1:32" x14ac:dyDescent="0.2">
      <c r="A46" s="145"/>
      <c r="B46" s="146" t="s">
        <v>479</v>
      </c>
      <c r="C46" s="146">
        <f>C43</f>
        <v>231.14</v>
      </c>
      <c r="D46" s="147">
        <f>AVERAGE(D43:D45)</f>
        <v>0.34566666666666662</v>
      </c>
      <c r="E46" s="147">
        <f>AVERAGE(E43:E45)</f>
        <v>0.13433333333333333</v>
      </c>
      <c r="F46" s="146">
        <f>F43</f>
        <v>231.14</v>
      </c>
      <c r="G46" s="147">
        <f>AVERAGE(G43:G45)</f>
        <v>0.34866666666666662</v>
      </c>
      <c r="H46" s="147">
        <f>AVERAGE(H43:H45)</f>
        <v>0.13300000000000001</v>
      </c>
      <c r="I46" s="146">
        <f>I43</f>
        <v>231.14</v>
      </c>
      <c r="J46" s="147">
        <f>AVERAGE(J43:J45)</f>
        <v>0.33366666666666661</v>
      </c>
      <c r="K46" s="147">
        <f>AVERAGE(K43:K45)</f>
        <v>0.12266666666666666</v>
      </c>
      <c r="L46" s="146">
        <f>L43</f>
        <v>231.14</v>
      </c>
      <c r="M46" s="147">
        <f>AVERAGE(M43:M45)</f>
        <v>0.33600000000000002</v>
      </c>
      <c r="N46" s="147">
        <f>AVERAGE(N43:N45)</f>
        <v>0.11933333333333333</v>
      </c>
      <c r="O46" s="146">
        <f>SUM(O43:O45)</f>
        <v>231.14</v>
      </c>
      <c r="P46" s="147">
        <f>AVERAGE(P43:P45)</f>
        <v>0.34066666666666667</v>
      </c>
      <c r="Q46" s="147">
        <f>AVERAGE(Q43:Q45)</f>
        <v>0.126</v>
      </c>
      <c r="R46" s="146">
        <f>SUM(R43:R45)</f>
        <v>231.14</v>
      </c>
      <c r="S46" s="147">
        <f>AVERAGE(S43:S45)</f>
        <v>0.51266666666666671</v>
      </c>
      <c r="T46" s="147">
        <f>AVERAGE(T43:T45)</f>
        <v>0.19200000000000003</v>
      </c>
      <c r="U46" s="146">
        <f>SUM(U43:U45)</f>
        <v>231.14</v>
      </c>
      <c r="V46" s="147">
        <f>AVERAGE(V43:V45)</f>
        <v>0.57166666666666666</v>
      </c>
      <c r="W46" s="147">
        <f>AVERAGE(W43:W45)</f>
        <v>0.20499999999999999</v>
      </c>
      <c r="X46" s="146">
        <f>SUM(X43:X45)</f>
        <v>231.14</v>
      </c>
      <c r="Y46" s="147">
        <f>AVERAGE(Y43:Y45)</f>
        <v>0.60766666666666669</v>
      </c>
      <c r="Z46" s="147">
        <f>AVERAGE(Z43:Z45)</f>
        <v>0.21433333333333335</v>
      </c>
      <c r="AA46" s="146">
        <f>SUM(AA43:AA45)</f>
        <v>231.14</v>
      </c>
      <c r="AB46" s="147">
        <f>AVERAGE(AB43:AB45)</f>
        <v>0.61799999999999999</v>
      </c>
      <c r="AC46" s="147">
        <f>AVERAGE(AC43:AC45)</f>
        <v>0.21033333333333334</v>
      </c>
      <c r="AD46" s="146">
        <f>SUM(AD43:AD45)</f>
        <v>231.14</v>
      </c>
      <c r="AE46" s="147">
        <f>AVERAGE(AE43:AE45)</f>
        <v>0.6319347036416666</v>
      </c>
      <c r="AF46" s="147">
        <f>AVERAGE(AF43:AF45)</f>
        <v>0.22356529344166667</v>
      </c>
    </row>
    <row r="47" spans="1:32" x14ac:dyDescent="0.2">
      <c r="A47" s="148" t="s">
        <v>17</v>
      </c>
      <c r="B47" s="4"/>
      <c r="C47" s="144">
        <v>3291.0499999999997</v>
      </c>
      <c r="D47" s="4">
        <v>0.34899999999999998</v>
      </c>
      <c r="E47" s="4">
        <v>0.13700000000000001</v>
      </c>
      <c r="F47" s="144">
        <v>3291.0499999999997</v>
      </c>
      <c r="G47" s="4">
        <v>0.35699999999999998</v>
      </c>
      <c r="H47" s="4">
        <v>0.123</v>
      </c>
      <c r="I47" s="144">
        <v>3291.0499999999997</v>
      </c>
      <c r="J47" s="4">
        <v>0.34100000000000003</v>
      </c>
      <c r="K47" s="4">
        <v>0.10299999999999999</v>
      </c>
      <c r="L47" s="144">
        <v>3291.0499999999997</v>
      </c>
      <c r="M47" s="4">
        <v>0.32500000000000001</v>
      </c>
      <c r="N47" s="4">
        <v>0.106</v>
      </c>
      <c r="O47" s="144">
        <v>3291.0499999999997</v>
      </c>
      <c r="P47" s="4">
        <v>0.33900000000000002</v>
      </c>
      <c r="Q47" s="4">
        <v>0.112</v>
      </c>
      <c r="R47" s="4">
        <v>0</v>
      </c>
      <c r="S47" s="4">
        <v>0</v>
      </c>
      <c r="T47" s="4">
        <v>0</v>
      </c>
      <c r="U47" s="10">
        <v>0</v>
      </c>
      <c r="V47" s="4">
        <v>0</v>
      </c>
      <c r="W47" s="4">
        <v>0</v>
      </c>
      <c r="X47" s="10">
        <v>0</v>
      </c>
      <c r="Y47" s="4">
        <v>0</v>
      </c>
      <c r="Z47" s="4">
        <v>0</v>
      </c>
      <c r="AA47" s="10">
        <v>1718.41</v>
      </c>
      <c r="AB47" s="4">
        <v>0.63200000000000001</v>
      </c>
      <c r="AC47" s="4">
        <v>0.218</v>
      </c>
      <c r="AD47" s="4">
        <v>0</v>
      </c>
      <c r="AE47" s="4">
        <v>0</v>
      </c>
      <c r="AF47" s="4">
        <v>0</v>
      </c>
    </row>
    <row r="48" spans="1:32" x14ac:dyDescent="0.2">
      <c r="A48" s="10"/>
      <c r="B48" s="144"/>
      <c r="C48" s="144"/>
      <c r="D48" s="4">
        <v>0.34799999999999998</v>
      </c>
      <c r="E48" s="4">
        <v>0.121</v>
      </c>
      <c r="F48" s="10"/>
      <c r="G48" s="4">
        <v>0.34100000000000003</v>
      </c>
      <c r="H48" s="4">
        <v>0.113</v>
      </c>
      <c r="I48" s="10"/>
      <c r="J48" s="4">
        <v>0.32200000000000001</v>
      </c>
      <c r="K48" s="4">
        <v>0.107</v>
      </c>
      <c r="L48" s="10"/>
      <c r="M48" s="4">
        <v>0.318</v>
      </c>
      <c r="N48" s="4">
        <v>0.11700000000000001</v>
      </c>
      <c r="O48" s="10"/>
      <c r="P48" s="4">
        <v>0.33100000000000002</v>
      </c>
      <c r="Q48" s="4">
        <v>0.125</v>
      </c>
      <c r="R48" s="10"/>
      <c r="S48" s="4"/>
      <c r="T48" s="4"/>
      <c r="U48" s="10"/>
      <c r="V48" s="4"/>
      <c r="W48" s="4"/>
      <c r="X48" s="10"/>
      <c r="Y48" s="4"/>
      <c r="Z48" s="4"/>
      <c r="AA48" s="10"/>
      <c r="AB48" s="4">
        <v>0.625</v>
      </c>
      <c r="AC48" s="4">
        <v>0.20699999999999999</v>
      </c>
      <c r="AD48" s="10"/>
      <c r="AE48" s="4"/>
      <c r="AF48" s="4"/>
    </row>
    <row r="49" spans="1:32" x14ac:dyDescent="0.2">
      <c r="A49" s="10"/>
      <c r="B49" s="144"/>
      <c r="C49" s="144"/>
      <c r="D49" s="4">
        <v>0.29799999999999999</v>
      </c>
      <c r="E49" s="4">
        <v>0.10199999999999999</v>
      </c>
      <c r="F49" s="10"/>
      <c r="G49" s="4">
        <v>0.32200000000000001</v>
      </c>
      <c r="H49" s="4">
        <v>0.13700000000000001</v>
      </c>
      <c r="I49" s="10"/>
      <c r="J49" s="4">
        <v>0.313</v>
      </c>
      <c r="K49" s="4">
        <v>0.124</v>
      </c>
      <c r="L49" s="10"/>
      <c r="M49" s="4">
        <v>0.33900000000000002</v>
      </c>
      <c r="N49" s="4">
        <v>0.109</v>
      </c>
      <c r="O49" s="10"/>
      <c r="P49" s="4">
        <v>0.34300000000000003</v>
      </c>
      <c r="Q49" s="4">
        <v>0.107</v>
      </c>
      <c r="R49" s="10"/>
      <c r="S49" s="4"/>
      <c r="T49" s="4"/>
      <c r="U49" s="10"/>
      <c r="V49" s="4"/>
      <c r="W49" s="4"/>
      <c r="X49" s="10"/>
      <c r="Y49" s="4"/>
      <c r="Z49" s="4"/>
      <c r="AA49" s="10"/>
      <c r="AB49" s="4">
        <v>0.61699999999999999</v>
      </c>
      <c r="AC49" s="4">
        <v>0.20499999999999999</v>
      </c>
      <c r="AD49" s="10"/>
      <c r="AE49" s="4"/>
      <c r="AF49" s="4"/>
    </row>
    <row r="50" spans="1:32" x14ac:dyDescent="0.2">
      <c r="A50" s="10"/>
      <c r="B50" s="144"/>
      <c r="C50" s="144"/>
      <c r="D50" s="4">
        <v>0.33800000000000002</v>
      </c>
      <c r="E50" s="4">
        <v>0.14099999999999999</v>
      </c>
      <c r="F50" s="10"/>
      <c r="G50" s="4">
        <v>0.34200000000000003</v>
      </c>
      <c r="H50" s="4">
        <v>0.14399999999999999</v>
      </c>
      <c r="I50" s="10"/>
      <c r="J50" s="4">
        <v>0.35099999999999998</v>
      </c>
      <c r="K50" s="4">
        <v>0.11700000000000001</v>
      </c>
      <c r="L50" s="10"/>
      <c r="M50" s="4">
        <v>0.32700000000000001</v>
      </c>
      <c r="N50" s="4">
        <v>0.104</v>
      </c>
      <c r="O50" s="10"/>
      <c r="P50" s="4">
        <v>0.32800000000000001</v>
      </c>
      <c r="Q50" s="4">
        <v>0.123</v>
      </c>
      <c r="R50" s="10"/>
      <c r="S50" s="4"/>
      <c r="T50" s="4"/>
      <c r="U50" s="10"/>
      <c r="V50" s="4"/>
      <c r="W50" s="4"/>
      <c r="X50" s="10"/>
      <c r="Y50" s="4"/>
      <c r="Z50" s="4"/>
      <c r="AA50" s="10"/>
      <c r="AB50" s="4">
        <v>0.60799999999999998</v>
      </c>
      <c r="AC50" s="4">
        <v>0.21299999999999999</v>
      </c>
      <c r="AD50" s="10"/>
      <c r="AE50" s="4"/>
      <c r="AF50" s="4"/>
    </row>
    <row r="51" spans="1:32" x14ac:dyDescent="0.2">
      <c r="A51" s="10"/>
      <c r="B51" s="144"/>
      <c r="C51" s="144"/>
      <c r="D51" s="4">
        <v>0.33900000000000002</v>
      </c>
      <c r="E51" s="4">
        <v>0.109</v>
      </c>
      <c r="F51" s="10"/>
      <c r="G51" s="4">
        <v>0.34300000000000003</v>
      </c>
      <c r="H51" s="4">
        <v>0.107</v>
      </c>
      <c r="I51" s="10"/>
      <c r="J51" s="4">
        <v>0.51</v>
      </c>
      <c r="K51" s="4">
        <v>0.18099999999999999</v>
      </c>
      <c r="L51" s="10"/>
      <c r="M51" s="4">
        <v>0.59699999999999998</v>
      </c>
      <c r="N51" s="4">
        <v>0.20899999999999999</v>
      </c>
      <c r="O51" s="10"/>
      <c r="P51" s="4">
        <v>0.61499999999999999</v>
      </c>
      <c r="Q51" s="4">
        <v>0.217</v>
      </c>
      <c r="R51" s="10"/>
      <c r="S51" s="4"/>
      <c r="T51" s="4"/>
      <c r="U51" s="10"/>
      <c r="V51" s="4"/>
      <c r="W51" s="4"/>
      <c r="X51" s="10"/>
      <c r="Y51" s="4"/>
      <c r="Z51" s="4"/>
      <c r="AA51" s="10"/>
      <c r="AB51" s="4">
        <v>0.60799999999999998</v>
      </c>
      <c r="AC51" s="4">
        <v>0.21299999999999999</v>
      </c>
      <c r="AD51" s="10"/>
      <c r="AE51" s="117"/>
      <c r="AF51" s="117"/>
    </row>
    <row r="52" spans="1:32" x14ac:dyDescent="0.2">
      <c r="A52" s="10"/>
      <c r="B52" s="144"/>
      <c r="C52" s="144"/>
      <c r="D52" s="4">
        <v>0.32700000000000001</v>
      </c>
      <c r="E52" s="4">
        <v>0.104</v>
      </c>
      <c r="F52" s="10"/>
      <c r="G52" s="4">
        <v>0.32800000000000001</v>
      </c>
      <c r="H52" s="4">
        <v>0.123</v>
      </c>
      <c r="I52" s="10"/>
      <c r="J52" s="4">
        <v>0.51100000000000001</v>
      </c>
      <c r="K52" s="4">
        <v>0.193</v>
      </c>
      <c r="L52" s="10"/>
      <c r="M52" s="4">
        <v>0.57099999999999995</v>
      </c>
      <c r="N52" s="4">
        <v>0.215</v>
      </c>
      <c r="O52" s="10"/>
      <c r="P52" s="4">
        <v>0.61299999999999999</v>
      </c>
      <c r="Q52" s="4">
        <v>0.20799999999999999</v>
      </c>
      <c r="R52" s="10"/>
      <c r="S52" s="4"/>
      <c r="T52" s="4"/>
      <c r="U52" s="10"/>
      <c r="V52" s="4"/>
      <c r="W52" s="4"/>
      <c r="X52" s="10"/>
      <c r="Y52" s="10"/>
      <c r="Z52" s="10"/>
      <c r="AA52" s="10"/>
      <c r="AB52" s="10"/>
      <c r="AC52" s="10"/>
      <c r="AD52" s="10"/>
      <c r="AE52" s="10"/>
      <c r="AF52" s="10"/>
    </row>
    <row r="53" spans="1:32" x14ac:dyDescent="0.2">
      <c r="A53" s="10"/>
      <c r="B53" s="144"/>
      <c r="C53" s="144"/>
      <c r="D53" s="4">
        <v>0.34799999999999998</v>
      </c>
      <c r="E53" s="4">
        <v>0.121</v>
      </c>
      <c r="F53" s="10"/>
      <c r="G53" s="4">
        <v>0.34100000000000003</v>
      </c>
      <c r="H53" s="4">
        <v>0.113</v>
      </c>
      <c r="I53" s="10"/>
      <c r="J53" s="4">
        <v>0.32200000000000001</v>
      </c>
      <c r="K53" s="4">
        <v>0.107</v>
      </c>
      <c r="L53" s="10"/>
      <c r="M53" s="4">
        <v>0.318</v>
      </c>
      <c r="N53" s="4">
        <v>0.11700000000000001</v>
      </c>
      <c r="O53" s="10"/>
      <c r="P53" s="4">
        <v>0.33100000000000002</v>
      </c>
      <c r="Q53" s="4">
        <v>0.125</v>
      </c>
      <c r="R53" s="10"/>
      <c r="S53" s="4"/>
      <c r="T53" s="4"/>
      <c r="U53" s="10"/>
      <c r="V53" s="4"/>
      <c r="W53" s="4"/>
      <c r="X53" s="10"/>
      <c r="Y53" s="4"/>
      <c r="Z53" s="4"/>
      <c r="AA53" s="10"/>
      <c r="AB53" s="4">
        <v>0.625</v>
      </c>
      <c r="AC53" s="4">
        <v>0.20699999999999999</v>
      </c>
      <c r="AD53" s="10"/>
      <c r="AE53" s="4"/>
      <c r="AF53" s="4"/>
    </row>
    <row r="54" spans="1:32" x14ac:dyDescent="0.2">
      <c r="A54" s="10"/>
      <c r="B54" s="144"/>
      <c r="C54" s="144"/>
      <c r="D54" s="4">
        <v>0.29799999999999999</v>
      </c>
      <c r="E54" s="4">
        <v>0.10199999999999999</v>
      </c>
      <c r="F54" s="10"/>
      <c r="G54" s="4">
        <v>0.32200000000000001</v>
      </c>
      <c r="H54" s="4">
        <v>0.13700000000000001</v>
      </c>
      <c r="I54" s="10"/>
      <c r="J54" s="4">
        <v>0.313</v>
      </c>
      <c r="K54" s="4">
        <v>0.124</v>
      </c>
      <c r="L54" s="10"/>
      <c r="M54" s="4">
        <v>0.33900000000000002</v>
      </c>
      <c r="N54" s="4">
        <v>0.109</v>
      </c>
      <c r="O54" s="10"/>
      <c r="P54" s="4">
        <v>0.34300000000000003</v>
      </c>
      <c r="Q54" s="4">
        <v>0.107</v>
      </c>
      <c r="R54" s="10"/>
      <c r="S54" s="4"/>
      <c r="T54" s="4"/>
      <c r="U54" s="10"/>
      <c r="V54" s="4"/>
      <c r="W54" s="4"/>
      <c r="X54" s="10"/>
      <c r="Y54" s="4"/>
      <c r="Z54" s="4"/>
      <c r="AA54" s="10"/>
      <c r="AB54" s="4">
        <v>0.61699999999999999</v>
      </c>
      <c r="AC54" s="4">
        <v>0.20499999999999999</v>
      </c>
      <c r="AD54" s="10"/>
      <c r="AE54" s="4"/>
      <c r="AF54" s="4"/>
    </row>
    <row r="55" spans="1:32" x14ac:dyDescent="0.2">
      <c r="A55" s="145"/>
      <c r="B55" s="146" t="s">
        <v>480</v>
      </c>
      <c r="C55" s="146">
        <f>C47</f>
        <v>3291.0499999999997</v>
      </c>
      <c r="D55" s="147">
        <f>AVERAGE(D47:D54)</f>
        <v>0.330625</v>
      </c>
      <c r="E55" s="147">
        <f>AVERAGE(E47:E54)</f>
        <v>0.11712499999999999</v>
      </c>
      <c r="F55" s="146">
        <f>F47</f>
        <v>3291.0499999999997</v>
      </c>
      <c r="G55" s="147">
        <f t="shared" ref="G55:H55" si="88">AVERAGE(G47:G54)</f>
        <v>0.33700000000000002</v>
      </c>
      <c r="H55" s="147">
        <f t="shared" si="88"/>
        <v>0.124625</v>
      </c>
      <c r="I55" s="146">
        <f>I47</f>
        <v>3291.0499999999997</v>
      </c>
      <c r="J55" s="147">
        <f t="shared" ref="J55:K55" si="89">AVERAGE(J47:J54)</f>
        <v>0.37287500000000001</v>
      </c>
      <c r="K55" s="147">
        <f t="shared" si="89"/>
        <v>0.13200000000000001</v>
      </c>
      <c r="L55" s="146">
        <f>L47</f>
        <v>3291.0499999999997</v>
      </c>
      <c r="M55" s="147">
        <f t="shared" ref="M55:N55" si="90">AVERAGE(M47:M54)</f>
        <v>0.39174999999999999</v>
      </c>
      <c r="N55" s="147">
        <f t="shared" si="90"/>
        <v>0.13575000000000001</v>
      </c>
      <c r="O55" s="146">
        <f t="shared" ref="O55" si="91">SUM(O47:O54)</f>
        <v>3291.0499999999997</v>
      </c>
      <c r="P55" s="147">
        <f t="shared" ref="P55:Q55" si="92">AVERAGE(P47:P54)</f>
        <v>0.40537499999999999</v>
      </c>
      <c r="Q55" s="147">
        <f t="shared" si="92"/>
        <v>0.14049999999999999</v>
      </c>
      <c r="R55" s="146">
        <f t="shared" ref="R55" si="93">SUM(R47:R54)</f>
        <v>0</v>
      </c>
      <c r="S55" s="147">
        <f t="shared" ref="S55:T55" si="94">AVERAGE(S47:S54)</f>
        <v>0</v>
      </c>
      <c r="T55" s="147">
        <f t="shared" si="94"/>
        <v>0</v>
      </c>
      <c r="U55" s="146">
        <f t="shared" ref="U55" si="95">SUM(U47:U54)</f>
        <v>0</v>
      </c>
      <c r="V55" s="147">
        <f t="shared" ref="V55:W55" si="96">AVERAGE(V47:V54)</f>
        <v>0</v>
      </c>
      <c r="W55" s="147">
        <f t="shared" si="96"/>
        <v>0</v>
      </c>
      <c r="X55" s="146">
        <f t="shared" ref="X55" si="97">SUM(X47:X54)</f>
        <v>0</v>
      </c>
      <c r="Y55" s="147">
        <f t="shared" ref="Y55:Z55" si="98">AVERAGE(Y47:Y54)</f>
        <v>0</v>
      </c>
      <c r="Z55" s="147">
        <f t="shared" si="98"/>
        <v>0</v>
      </c>
      <c r="AA55" s="146">
        <f t="shared" ref="AA55" si="99">SUM(AA47:AA54)</f>
        <v>1718.41</v>
      </c>
      <c r="AB55" s="147">
        <f t="shared" ref="AB55:AC55" si="100">AVERAGE(AB47:AB54)</f>
        <v>0.61885714285714299</v>
      </c>
      <c r="AC55" s="147">
        <f t="shared" si="100"/>
        <v>0.20971428571428574</v>
      </c>
      <c r="AD55" s="146">
        <f t="shared" ref="AD55" si="101">SUM(AD47:AD54)</f>
        <v>0</v>
      </c>
      <c r="AE55" s="147">
        <f t="shared" ref="AE55:AF55" si="102">AVERAGE(AE47:AE54)</f>
        <v>0</v>
      </c>
      <c r="AF55" s="147">
        <f t="shared" si="102"/>
        <v>0</v>
      </c>
    </row>
    <row r="56" spans="1:32" x14ac:dyDescent="0.2">
      <c r="A56" s="148" t="s">
        <v>18</v>
      </c>
      <c r="B56" s="4"/>
      <c r="C56" s="144">
        <v>739.25</v>
      </c>
      <c r="D56" s="4">
        <v>0.34799999999999998</v>
      </c>
      <c r="E56" s="4">
        <v>0.121</v>
      </c>
      <c r="F56" s="144">
        <v>739.25</v>
      </c>
      <c r="G56" s="4">
        <v>0.34100000000000003</v>
      </c>
      <c r="H56" s="4">
        <v>0.113</v>
      </c>
      <c r="I56" s="144">
        <v>739.25</v>
      </c>
      <c r="J56" s="4">
        <v>0.32200000000000001</v>
      </c>
      <c r="K56" s="4">
        <v>0.107</v>
      </c>
      <c r="L56" s="144">
        <v>739.25</v>
      </c>
      <c r="M56" s="4">
        <v>0.318</v>
      </c>
      <c r="N56" s="4">
        <v>0.11700000000000001</v>
      </c>
      <c r="O56" s="144">
        <v>739.25</v>
      </c>
      <c r="P56" s="4">
        <v>0.33100000000000002</v>
      </c>
      <c r="Q56" s="4">
        <v>0.125</v>
      </c>
      <c r="R56" s="4">
        <v>0</v>
      </c>
      <c r="S56" s="4">
        <v>0</v>
      </c>
      <c r="T56" s="4">
        <v>0</v>
      </c>
      <c r="U56" s="10">
        <v>0</v>
      </c>
      <c r="V56" s="4">
        <v>0</v>
      </c>
      <c r="W56" s="4">
        <v>0</v>
      </c>
      <c r="X56" s="10">
        <v>0</v>
      </c>
      <c r="Y56" s="4">
        <v>0</v>
      </c>
      <c r="Z56" s="4">
        <v>0</v>
      </c>
      <c r="AA56" s="10">
        <v>0</v>
      </c>
      <c r="AB56" s="4">
        <v>0</v>
      </c>
      <c r="AC56" s="4">
        <v>0</v>
      </c>
      <c r="AD56" s="10">
        <v>0</v>
      </c>
      <c r="AE56" s="4">
        <v>0</v>
      </c>
      <c r="AF56" s="4">
        <v>0</v>
      </c>
    </row>
    <row r="57" spans="1:32" x14ac:dyDescent="0.2">
      <c r="A57" s="10"/>
      <c r="B57" s="144"/>
      <c r="C57" s="144"/>
      <c r="D57" s="4">
        <v>0.29799999999999999</v>
      </c>
      <c r="E57" s="4">
        <v>0.10199999999999999</v>
      </c>
      <c r="F57" s="10"/>
      <c r="G57" s="4">
        <v>0.32200000000000001</v>
      </c>
      <c r="H57" s="4">
        <v>0.13700000000000001</v>
      </c>
      <c r="I57" s="10"/>
      <c r="J57" s="4">
        <v>0.313</v>
      </c>
      <c r="K57" s="4">
        <v>0.124</v>
      </c>
      <c r="L57" s="10"/>
      <c r="M57" s="4">
        <v>0.33900000000000002</v>
      </c>
      <c r="N57" s="4">
        <v>0.109</v>
      </c>
      <c r="O57" s="10"/>
      <c r="P57" s="4">
        <v>0.34300000000000003</v>
      </c>
      <c r="Q57" s="4">
        <v>0.107</v>
      </c>
      <c r="R57" s="10"/>
      <c r="S57" s="4"/>
      <c r="T57" s="4"/>
      <c r="U57" s="10"/>
      <c r="V57" s="4"/>
      <c r="W57" s="4"/>
      <c r="X57" s="10"/>
      <c r="Y57" s="4"/>
      <c r="Z57" s="4"/>
      <c r="AA57" s="10"/>
      <c r="AB57" s="4"/>
      <c r="AC57" s="4"/>
      <c r="AD57" s="10"/>
      <c r="AE57" s="4"/>
      <c r="AF57" s="4"/>
    </row>
    <row r="58" spans="1:32" x14ac:dyDescent="0.2">
      <c r="A58" s="10"/>
      <c r="B58" s="144"/>
      <c r="C58" s="144"/>
      <c r="D58" s="4">
        <v>0.33800000000000002</v>
      </c>
      <c r="E58" s="4">
        <v>0.14099999999999999</v>
      </c>
      <c r="F58" s="10"/>
      <c r="G58" s="4">
        <v>0.34200000000000003</v>
      </c>
      <c r="H58" s="4">
        <v>0.14399999999999999</v>
      </c>
      <c r="I58" s="10"/>
      <c r="J58" s="4">
        <v>0.35099999999999998</v>
      </c>
      <c r="K58" s="4">
        <v>0.11700000000000001</v>
      </c>
      <c r="L58" s="10"/>
      <c r="M58" s="4">
        <v>0.32700000000000001</v>
      </c>
      <c r="N58" s="4">
        <v>0.104</v>
      </c>
      <c r="O58" s="10"/>
      <c r="P58" s="4">
        <v>0.32800000000000001</v>
      </c>
      <c r="Q58" s="4">
        <v>0.123</v>
      </c>
      <c r="R58" s="10"/>
      <c r="S58" s="4"/>
      <c r="T58" s="4"/>
      <c r="U58" s="10"/>
      <c r="V58" s="4"/>
      <c r="W58" s="4"/>
      <c r="X58" s="10"/>
      <c r="Y58" s="4"/>
      <c r="Z58" s="4"/>
      <c r="AA58" s="10"/>
      <c r="AB58" s="4"/>
      <c r="AC58" s="4"/>
      <c r="AD58" s="10"/>
      <c r="AE58" s="4"/>
      <c r="AF58" s="4"/>
    </row>
    <row r="59" spans="1:32" x14ac:dyDescent="0.2">
      <c r="A59" s="10"/>
      <c r="B59" s="144"/>
      <c r="C59" s="144"/>
      <c r="D59" s="4">
        <v>0.33900000000000002</v>
      </c>
      <c r="E59" s="4">
        <v>0.109</v>
      </c>
      <c r="F59" s="10"/>
      <c r="G59" s="4">
        <v>0.34300000000000003</v>
      </c>
      <c r="H59" s="4">
        <v>0.107</v>
      </c>
      <c r="I59" s="10"/>
      <c r="J59" s="4">
        <v>0.51</v>
      </c>
      <c r="K59" s="4">
        <v>0.18099999999999999</v>
      </c>
      <c r="L59" s="10"/>
      <c r="M59" s="4">
        <v>0.59699999999999998</v>
      </c>
      <c r="N59" s="4">
        <v>0.20899999999999999</v>
      </c>
      <c r="O59" s="10"/>
      <c r="P59" s="4">
        <v>0.61499999999999999</v>
      </c>
      <c r="Q59" s="4">
        <v>0.217</v>
      </c>
      <c r="R59" s="10"/>
      <c r="S59" s="4"/>
      <c r="T59" s="4"/>
      <c r="U59" s="10"/>
      <c r="V59" s="4"/>
      <c r="W59" s="4"/>
      <c r="X59" s="10"/>
      <c r="Y59" s="4"/>
      <c r="Z59" s="4"/>
      <c r="AA59" s="10"/>
      <c r="AB59" s="4"/>
      <c r="AC59" s="4"/>
      <c r="AD59" s="10"/>
      <c r="AE59" s="117"/>
      <c r="AF59" s="117"/>
    </row>
    <row r="60" spans="1:32" x14ac:dyDescent="0.2">
      <c r="A60" s="145"/>
      <c r="B60" s="146" t="s">
        <v>481</v>
      </c>
      <c r="C60" s="146">
        <f>C56</f>
        <v>739.25</v>
      </c>
      <c r="D60" s="147">
        <f>AVERAGE(D56:D59)</f>
        <v>0.33074999999999999</v>
      </c>
      <c r="E60" s="147">
        <f>AVERAGE(E56:E59)</f>
        <v>0.11824999999999999</v>
      </c>
      <c r="F60" s="146">
        <f>F56</f>
        <v>739.25</v>
      </c>
      <c r="G60" s="147">
        <f t="shared" ref="G60:H60" si="103">AVERAGE(G56:G59)</f>
        <v>0.33700000000000002</v>
      </c>
      <c r="H60" s="147">
        <f t="shared" si="103"/>
        <v>0.12525</v>
      </c>
      <c r="I60" s="146">
        <f>I56</f>
        <v>739.25</v>
      </c>
      <c r="J60" s="147">
        <f t="shared" ref="J60:K60" si="104">AVERAGE(J56:J59)</f>
        <v>0.374</v>
      </c>
      <c r="K60" s="147">
        <f t="shared" si="104"/>
        <v>0.13224999999999998</v>
      </c>
      <c r="L60" s="146">
        <f>L56</f>
        <v>739.25</v>
      </c>
      <c r="M60" s="147">
        <f t="shared" ref="M60:N60" si="105">AVERAGE(M56:M59)</f>
        <v>0.39524999999999999</v>
      </c>
      <c r="N60" s="147">
        <f t="shared" si="105"/>
        <v>0.13475000000000001</v>
      </c>
      <c r="O60" s="146">
        <f t="shared" ref="O60" si="106">SUM(O56:O59)</f>
        <v>739.25</v>
      </c>
      <c r="P60" s="147">
        <f t="shared" ref="P60:Q60" si="107">AVERAGE(P56:P59)</f>
        <v>0.40425</v>
      </c>
      <c r="Q60" s="147">
        <f t="shared" si="107"/>
        <v>0.14299999999999999</v>
      </c>
      <c r="R60" s="146">
        <f t="shared" ref="R60" si="108">SUM(R56:R59)</f>
        <v>0</v>
      </c>
      <c r="S60" s="147">
        <f t="shared" ref="S60:T60" si="109">AVERAGE(S56:S59)</f>
        <v>0</v>
      </c>
      <c r="T60" s="147">
        <f t="shared" si="109"/>
        <v>0</v>
      </c>
      <c r="U60" s="146">
        <f t="shared" ref="U60" si="110">SUM(U56:U59)</f>
        <v>0</v>
      </c>
      <c r="V60" s="147">
        <f t="shared" ref="V60:W60" si="111">AVERAGE(V56:V59)</f>
        <v>0</v>
      </c>
      <c r="W60" s="147">
        <f t="shared" si="111"/>
        <v>0</v>
      </c>
      <c r="X60" s="146">
        <f t="shared" ref="X60" si="112">SUM(X56:X59)</f>
        <v>0</v>
      </c>
      <c r="Y60" s="147">
        <f t="shared" ref="Y60:Z60" si="113">AVERAGE(Y56:Y59)</f>
        <v>0</v>
      </c>
      <c r="Z60" s="147">
        <f t="shared" si="113"/>
        <v>0</v>
      </c>
      <c r="AA60" s="146">
        <f t="shared" ref="AA60" si="114">SUM(AA56:AA59)</f>
        <v>0</v>
      </c>
      <c r="AB60" s="147">
        <f t="shared" ref="AB60:AC60" si="115">AVERAGE(AB56:AB59)</f>
        <v>0</v>
      </c>
      <c r="AC60" s="147">
        <f t="shared" si="115"/>
        <v>0</v>
      </c>
      <c r="AD60" s="146">
        <f t="shared" ref="AD60" si="116">SUM(AD56:AD59)</f>
        <v>0</v>
      </c>
      <c r="AE60" s="147">
        <f t="shared" ref="AE60:AF60" si="117">AVERAGE(AE56:AE59)</f>
        <v>0</v>
      </c>
      <c r="AF60" s="147">
        <f t="shared" si="117"/>
        <v>0</v>
      </c>
    </row>
    <row r="61" spans="1:32" x14ac:dyDescent="0.2">
      <c r="A61" s="148" t="s">
        <v>19</v>
      </c>
      <c r="B61" s="4"/>
      <c r="C61" s="144">
        <v>3700</v>
      </c>
      <c r="D61" s="4">
        <v>0.34899999999999998</v>
      </c>
      <c r="E61" s="4">
        <v>0.13700000000000001</v>
      </c>
      <c r="F61" s="144">
        <v>3700</v>
      </c>
      <c r="G61" s="4">
        <v>0.35699999999999998</v>
      </c>
      <c r="H61" s="4">
        <v>0.123</v>
      </c>
      <c r="I61" s="144">
        <v>3700</v>
      </c>
      <c r="J61" s="4">
        <v>0.34100000000000003</v>
      </c>
      <c r="K61" s="4">
        <v>0.10299999999999999</v>
      </c>
      <c r="L61" s="144">
        <v>3700</v>
      </c>
      <c r="M61" s="4">
        <v>0.32500000000000001</v>
      </c>
      <c r="N61" s="4">
        <v>0.106</v>
      </c>
      <c r="O61" s="144">
        <v>3700</v>
      </c>
      <c r="P61" s="4">
        <v>0.33900000000000002</v>
      </c>
      <c r="Q61" s="4">
        <v>0.112</v>
      </c>
      <c r="R61" s="4">
        <v>0</v>
      </c>
      <c r="S61" s="4">
        <v>0</v>
      </c>
      <c r="T61" s="4">
        <v>0</v>
      </c>
      <c r="U61" s="4">
        <v>2157.4699999999998</v>
      </c>
      <c r="V61" s="4">
        <v>0.58099999999999996</v>
      </c>
      <c r="W61" s="4">
        <v>0.20399999999999999</v>
      </c>
      <c r="X61" s="4">
        <v>0</v>
      </c>
      <c r="Y61" s="4">
        <v>0</v>
      </c>
      <c r="Z61" s="4">
        <v>0</v>
      </c>
      <c r="AA61" s="10">
        <v>0</v>
      </c>
      <c r="AB61" s="4">
        <v>0</v>
      </c>
      <c r="AC61" s="4">
        <v>0</v>
      </c>
      <c r="AD61" s="10">
        <v>0</v>
      </c>
      <c r="AE61" s="4">
        <v>0</v>
      </c>
      <c r="AF61" s="4">
        <v>0</v>
      </c>
    </row>
    <row r="62" spans="1:32" x14ac:dyDescent="0.2">
      <c r="A62" s="10"/>
      <c r="B62" s="144"/>
      <c r="C62" s="144"/>
      <c r="D62" s="4">
        <v>0.34799999999999998</v>
      </c>
      <c r="E62" s="4">
        <v>0.121</v>
      </c>
      <c r="F62" s="10"/>
      <c r="G62" s="4">
        <v>0.34100000000000003</v>
      </c>
      <c r="H62" s="4">
        <v>0.113</v>
      </c>
      <c r="I62" s="10"/>
      <c r="J62" s="4">
        <v>0.32200000000000001</v>
      </c>
      <c r="K62" s="4">
        <v>0.107</v>
      </c>
      <c r="L62" s="10"/>
      <c r="M62" s="4">
        <v>0.318</v>
      </c>
      <c r="N62" s="4">
        <v>0.11700000000000001</v>
      </c>
      <c r="O62" s="10"/>
      <c r="P62" s="4">
        <v>0.33100000000000002</v>
      </c>
      <c r="Q62" s="4">
        <v>0.125</v>
      </c>
      <c r="R62" s="10"/>
      <c r="S62" s="4"/>
      <c r="T62" s="4"/>
      <c r="U62" s="10"/>
      <c r="V62" s="4">
        <v>0.54300000000000004</v>
      </c>
      <c r="W62" s="4">
        <v>0.20100000000000001</v>
      </c>
      <c r="X62" s="10"/>
      <c r="Y62" s="4"/>
      <c r="Z62" s="4"/>
      <c r="AA62" s="10"/>
      <c r="AB62" s="4"/>
      <c r="AC62" s="4"/>
      <c r="AD62" s="10"/>
      <c r="AE62" s="4"/>
      <c r="AF62" s="4"/>
    </row>
    <row r="63" spans="1:32" x14ac:dyDescent="0.2">
      <c r="A63" s="10"/>
      <c r="B63" s="144"/>
      <c r="C63" s="144"/>
      <c r="D63" s="4">
        <v>0.29799999999999999</v>
      </c>
      <c r="E63" s="4">
        <v>0.10199999999999999</v>
      </c>
      <c r="F63" s="10"/>
      <c r="G63" s="4">
        <v>0.32200000000000001</v>
      </c>
      <c r="H63" s="4">
        <v>0.13700000000000001</v>
      </c>
      <c r="I63" s="10"/>
      <c r="J63" s="4">
        <v>0.313</v>
      </c>
      <c r="K63" s="4">
        <v>0.124</v>
      </c>
      <c r="L63" s="10"/>
      <c r="M63" s="4">
        <v>0.33900000000000002</v>
      </c>
      <c r="N63" s="4">
        <v>0.109</v>
      </c>
      <c r="O63" s="10"/>
      <c r="P63" s="4">
        <v>0.34300000000000003</v>
      </c>
      <c r="Q63" s="4">
        <v>0.107</v>
      </c>
      <c r="R63" s="10"/>
      <c r="S63" s="4"/>
      <c r="T63" s="4"/>
      <c r="U63" s="10"/>
      <c r="V63" s="4">
        <v>0.59699999999999998</v>
      </c>
      <c r="W63" s="4">
        <v>0.20899999999999999</v>
      </c>
      <c r="X63" s="10"/>
      <c r="Y63" s="4"/>
      <c r="Z63" s="4"/>
      <c r="AA63" s="10"/>
      <c r="AB63" s="4"/>
      <c r="AC63" s="4"/>
      <c r="AD63" s="10"/>
      <c r="AE63" s="4"/>
      <c r="AF63" s="4"/>
    </row>
    <row r="64" spans="1:32" x14ac:dyDescent="0.2">
      <c r="A64" s="10"/>
      <c r="B64" s="144"/>
      <c r="C64" s="144"/>
      <c r="D64" s="4">
        <v>0.34799999999999998</v>
      </c>
      <c r="E64" s="4">
        <v>0.121</v>
      </c>
      <c r="F64" s="10"/>
      <c r="G64" s="4">
        <v>0.34100000000000003</v>
      </c>
      <c r="H64" s="4">
        <v>0.113</v>
      </c>
      <c r="I64" s="10"/>
      <c r="J64" s="4">
        <v>0.34100000000000003</v>
      </c>
      <c r="K64" s="4">
        <v>0.10299999999999999</v>
      </c>
      <c r="L64" s="10"/>
      <c r="M64" s="4">
        <v>0.32500000000000001</v>
      </c>
      <c r="N64" s="4">
        <v>0.106</v>
      </c>
      <c r="O64" s="10"/>
      <c r="P64" s="4">
        <v>0.34300000000000003</v>
      </c>
      <c r="Q64" s="4">
        <v>0.107</v>
      </c>
      <c r="R64" s="10"/>
      <c r="S64" s="4"/>
      <c r="T64" s="4"/>
      <c r="U64" s="10"/>
      <c r="V64" s="4">
        <v>0.54300000000000004</v>
      </c>
      <c r="W64" s="4">
        <v>0.20100000000000001</v>
      </c>
      <c r="X64" s="10"/>
      <c r="Y64" s="4"/>
      <c r="Z64" s="4"/>
      <c r="AA64" s="10"/>
      <c r="AB64" s="4"/>
      <c r="AC64" s="4"/>
      <c r="AD64" s="10"/>
      <c r="AE64" s="4"/>
      <c r="AF64" s="4"/>
    </row>
    <row r="65" spans="1:32" x14ac:dyDescent="0.2">
      <c r="A65" s="10"/>
      <c r="B65" s="144"/>
      <c r="C65" s="144"/>
      <c r="D65" s="4">
        <v>0.33800000000000002</v>
      </c>
      <c r="E65" s="4">
        <v>0.14099999999999999</v>
      </c>
      <c r="F65" s="10"/>
      <c r="G65" s="4">
        <v>0.35199999999999998</v>
      </c>
      <c r="H65" s="4">
        <v>0.14299999999999999</v>
      </c>
      <c r="I65" s="10"/>
      <c r="J65" s="4">
        <v>0.313</v>
      </c>
      <c r="K65" s="4">
        <v>0.124</v>
      </c>
      <c r="L65" s="10"/>
      <c r="M65" s="4">
        <v>0.32700000000000001</v>
      </c>
      <c r="N65" s="4">
        <v>0.104</v>
      </c>
      <c r="O65" s="10"/>
      <c r="P65" s="4">
        <v>0.33700000000000002</v>
      </c>
      <c r="Q65" s="4">
        <v>0.11899999999999999</v>
      </c>
      <c r="R65" s="10"/>
      <c r="S65" s="4"/>
      <c r="T65" s="4"/>
      <c r="U65" s="10"/>
      <c r="V65" s="4">
        <v>0.59699999999999998</v>
      </c>
      <c r="W65" s="4">
        <v>0.20899999999999999</v>
      </c>
      <c r="X65" s="10"/>
      <c r="Y65" s="4"/>
      <c r="Z65" s="4"/>
      <c r="AA65" s="10"/>
      <c r="AB65" s="4"/>
      <c r="AC65" s="4"/>
      <c r="AD65" s="10"/>
      <c r="AE65" s="117"/>
      <c r="AF65" s="117"/>
    </row>
    <row r="66" spans="1:32" x14ac:dyDescent="0.2">
      <c r="A66" s="10"/>
      <c r="B66" s="144"/>
      <c r="C66" s="144"/>
      <c r="D66" s="4">
        <v>0.34899999999999998</v>
      </c>
      <c r="E66" s="4">
        <v>0.13700000000000001</v>
      </c>
      <c r="F66" s="10"/>
      <c r="G66" s="4">
        <v>0.35699999999999998</v>
      </c>
      <c r="H66" s="4">
        <v>0.123</v>
      </c>
      <c r="I66" s="10"/>
      <c r="J66" s="4">
        <v>0.34100000000000003</v>
      </c>
      <c r="K66" s="4">
        <v>0.10299999999999999</v>
      </c>
      <c r="L66" s="10"/>
      <c r="M66" s="4">
        <v>0.32500000000000001</v>
      </c>
      <c r="N66" s="4">
        <v>0.106</v>
      </c>
      <c r="O66" s="10"/>
      <c r="P66" s="4">
        <v>0.33900000000000002</v>
      </c>
      <c r="Q66" s="4">
        <v>0.112</v>
      </c>
      <c r="R66" s="10"/>
      <c r="S66" s="4"/>
      <c r="T66" s="4"/>
      <c r="U66" s="10"/>
      <c r="V66" s="4">
        <v>0.58099999999999996</v>
      </c>
      <c r="W66" s="4">
        <v>0.20399999999999999</v>
      </c>
      <c r="X66" s="10"/>
      <c r="Y66" s="4"/>
      <c r="Z66" s="4"/>
      <c r="AA66" s="10"/>
      <c r="AB66" s="4"/>
      <c r="AC66" s="4"/>
      <c r="AD66" s="10"/>
      <c r="AE66" s="4"/>
      <c r="AF66" s="4"/>
    </row>
    <row r="67" spans="1:32" x14ac:dyDescent="0.2">
      <c r="A67" s="10"/>
      <c r="B67" s="144"/>
      <c r="C67" s="144"/>
      <c r="D67" s="4">
        <v>0.34799999999999998</v>
      </c>
      <c r="E67" s="4">
        <v>0.121</v>
      </c>
      <c r="F67" s="10"/>
      <c r="G67" s="4">
        <v>0.34100000000000003</v>
      </c>
      <c r="H67" s="4">
        <v>0.113</v>
      </c>
      <c r="I67" s="10"/>
      <c r="J67" s="4">
        <v>0.32200000000000001</v>
      </c>
      <c r="K67" s="4">
        <v>0.107</v>
      </c>
      <c r="L67" s="10"/>
      <c r="M67" s="4">
        <v>0.318</v>
      </c>
      <c r="N67" s="4">
        <v>0.11700000000000001</v>
      </c>
      <c r="O67" s="10"/>
      <c r="P67" s="4">
        <v>0.33100000000000002</v>
      </c>
      <c r="Q67" s="4">
        <v>0.125</v>
      </c>
      <c r="R67" s="10"/>
      <c r="S67" s="4"/>
      <c r="T67" s="4"/>
      <c r="U67" s="10"/>
      <c r="V67" s="4">
        <v>0.54300000000000004</v>
      </c>
      <c r="W67" s="4">
        <v>0.20100000000000001</v>
      </c>
      <c r="X67" s="10"/>
      <c r="Y67" s="4"/>
      <c r="Z67" s="4"/>
      <c r="AA67" s="10"/>
      <c r="AB67" s="4"/>
      <c r="AC67" s="4"/>
      <c r="AD67" s="10"/>
      <c r="AE67" s="4"/>
      <c r="AF67" s="4"/>
    </row>
    <row r="68" spans="1:32" x14ac:dyDescent="0.2">
      <c r="A68" s="10"/>
      <c r="B68" s="144"/>
      <c r="C68" s="144"/>
      <c r="D68" s="4">
        <v>0.29799999999999999</v>
      </c>
      <c r="E68" s="4">
        <v>0.10199999999999999</v>
      </c>
      <c r="F68" s="10"/>
      <c r="G68" s="4">
        <v>0.32200000000000001</v>
      </c>
      <c r="H68" s="4">
        <v>0.13700000000000001</v>
      </c>
      <c r="I68" s="10"/>
      <c r="J68" s="4">
        <v>0.313</v>
      </c>
      <c r="K68" s="4">
        <v>0.124</v>
      </c>
      <c r="L68" s="10"/>
      <c r="M68" s="4">
        <v>0.33900000000000002</v>
      </c>
      <c r="N68" s="4">
        <v>0.109</v>
      </c>
      <c r="O68" s="10"/>
      <c r="P68" s="4">
        <v>0.34300000000000003</v>
      </c>
      <c r="Q68" s="4">
        <v>0.107</v>
      </c>
      <c r="R68" s="10"/>
      <c r="S68" s="4"/>
      <c r="T68" s="4"/>
      <c r="U68" s="10"/>
      <c r="V68" s="4">
        <v>0.59699999999999998</v>
      </c>
      <c r="W68" s="4">
        <v>0.20899999999999999</v>
      </c>
      <c r="X68" s="10"/>
      <c r="Y68" s="4"/>
      <c r="Z68" s="4"/>
      <c r="AA68" s="10"/>
      <c r="AB68" s="4"/>
      <c r="AC68" s="4"/>
      <c r="AD68" s="10"/>
      <c r="AE68" s="4"/>
      <c r="AF68" s="4"/>
    </row>
    <row r="69" spans="1:32" x14ac:dyDescent="0.2">
      <c r="A69" s="10"/>
      <c r="B69" s="144"/>
      <c r="C69" s="144"/>
      <c r="D69" s="4">
        <v>0.29799999999999999</v>
      </c>
      <c r="E69" s="4">
        <v>0.10199999999999999</v>
      </c>
      <c r="F69" s="10"/>
      <c r="G69" s="4">
        <v>0.32200000000000001</v>
      </c>
      <c r="H69" s="4">
        <v>0.13700000000000001</v>
      </c>
      <c r="I69" s="10"/>
      <c r="J69" s="4">
        <v>0.313</v>
      </c>
      <c r="K69" s="4">
        <v>0.124</v>
      </c>
      <c r="L69" s="10"/>
      <c r="M69" s="4">
        <v>0.33900000000000002</v>
      </c>
      <c r="N69" s="4">
        <v>0.109</v>
      </c>
      <c r="O69" s="10"/>
      <c r="P69" s="4">
        <v>0.34300000000000003</v>
      </c>
      <c r="Q69" s="4">
        <v>0.107</v>
      </c>
      <c r="R69" s="10"/>
      <c r="S69" s="4"/>
      <c r="T69" s="4"/>
      <c r="U69" s="10"/>
      <c r="V69" s="4">
        <v>0.59699999999999998</v>
      </c>
      <c r="W69" s="4">
        <v>0.20899999999999999</v>
      </c>
      <c r="X69" s="10"/>
      <c r="Y69" s="4"/>
      <c r="Z69" s="4"/>
      <c r="AA69" s="10"/>
      <c r="AB69" s="4"/>
      <c r="AC69" s="4"/>
      <c r="AD69" s="10"/>
      <c r="AE69" s="4"/>
      <c r="AF69" s="4"/>
    </row>
    <row r="70" spans="1:32" x14ac:dyDescent="0.2">
      <c r="A70" s="10"/>
      <c r="B70" s="144"/>
      <c r="C70" s="144"/>
      <c r="D70" s="4">
        <v>0.34799999999999998</v>
      </c>
      <c r="E70" s="4">
        <v>0.121</v>
      </c>
      <c r="F70" s="10"/>
      <c r="G70" s="4">
        <v>0.34100000000000003</v>
      </c>
      <c r="H70" s="4">
        <v>0.113</v>
      </c>
      <c r="I70" s="10"/>
      <c r="J70" s="4">
        <v>0.34100000000000003</v>
      </c>
      <c r="K70" s="4">
        <v>0.10299999999999999</v>
      </c>
      <c r="L70" s="10"/>
      <c r="M70" s="4">
        <v>0.32500000000000001</v>
      </c>
      <c r="N70" s="4">
        <v>0.106</v>
      </c>
      <c r="O70" s="10"/>
      <c r="P70" s="4">
        <v>0.34300000000000003</v>
      </c>
      <c r="Q70" s="4">
        <v>0.107</v>
      </c>
      <c r="R70" s="10"/>
      <c r="S70" s="4"/>
      <c r="T70" s="4"/>
      <c r="U70" s="10"/>
      <c r="V70" s="4">
        <v>0.54300000000000004</v>
      </c>
      <c r="W70" s="4">
        <v>0.20100000000000001</v>
      </c>
      <c r="X70" s="10"/>
      <c r="Y70" s="4"/>
      <c r="Z70" s="4"/>
      <c r="AA70" s="10"/>
      <c r="AB70" s="4"/>
      <c r="AC70" s="4"/>
      <c r="AD70" s="10"/>
      <c r="AE70" s="4"/>
      <c r="AF70" s="4"/>
    </row>
    <row r="71" spans="1:32" x14ac:dyDescent="0.2">
      <c r="A71" s="10"/>
      <c r="B71" s="144"/>
      <c r="C71" s="144"/>
      <c r="D71" s="4">
        <v>0.33800000000000002</v>
      </c>
      <c r="E71" s="4">
        <v>0.14099999999999999</v>
      </c>
      <c r="F71" s="10"/>
      <c r="G71" s="4">
        <v>0.35199999999999998</v>
      </c>
      <c r="H71" s="4">
        <v>0.14299999999999999</v>
      </c>
      <c r="I71" s="10"/>
      <c r="J71" s="4">
        <v>0.313</v>
      </c>
      <c r="K71" s="4">
        <v>0.124</v>
      </c>
      <c r="L71" s="10"/>
      <c r="M71" s="4">
        <v>0.32700000000000001</v>
      </c>
      <c r="N71" s="4">
        <v>0.104</v>
      </c>
      <c r="O71" s="10"/>
      <c r="P71" s="4">
        <v>0.33700000000000002</v>
      </c>
      <c r="Q71" s="4">
        <v>0.11899999999999999</v>
      </c>
      <c r="R71" s="10"/>
      <c r="S71" s="4"/>
      <c r="T71" s="4"/>
      <c r="U71" s="10"/>
      <c r="V71" s="4">
        <v>0.59699999999999998</v>
      </c>
      <c r="W71" s="4">
        <v>0.20899999999999999</v>
      </c>
      <c r="X71" s="10"/>
      <c r="Y71" s="4"/>
      <c r="Z71" s="4"/>
      <c r="AA71" s="10"/>
      <c r="AB71" s="4"/>
      <c r="AC71" s="4"/>
      <c r="AD71" s="10"/>
      <c r="AE71" s="117"/>
      <c r="AF71" s="117"/>
    </row>
    <row r="72" spans="1:32" x14ac:dyDescent="0.2">
      <c r="A72" s="10"/>
      <c r="B72" s="144"/>
      <c r="C72" s="144"/>
      <c r="D72" s="4">
        <v>0.34899999999999998</v>
      </c>
      <c r="E72" s="4">
        <v>0.13700000000000001</v>
      </c>
      <c r="F72" s="10"/>
      <c r="G72" s="4">
        <v>0.35699999999999998</v>
      </c>
      <c r="H72" s="4">
        <v>0.123</v>
      </c>
      <c r="I72" s="10"/>
      <c r="J72" s="4">
        <v>0.34100000000000003</v>
      </c>
      <c r="K72" s="4">
        <v>0.10299999999999999</v>
      </c>
      <c r="L72" s="10"/>
      <c r="M72" s="4">
        <v>0.32500000000000001</v>
      </c>
      <c r="N72" s="4">
        <v>0.106</v>
      </c>
      <c r="O72" s="10"/>
      <c r="P72" s="4">
        <v>0.33900000000000002</v>
      </c>
      <c r="Q72" s="4">
        <v>0.112</v>
      </c>
      <c r="R72" s="10"/>
      <c r="S72" s="4"/>
      <c r="T72" s="4"/>
      <c r="U72" s="10"/>
      <c r="V72" s="4">
        <v>0.58099999999999996</v>
      </c>
      <c r="W72" s="4">
        <v>0.20399999999999999</v>
      </c>
      <c r="X72" s="10"/>
      <c r="Y72" s="4"/>
      <c r="Z72" s="4"/>
      <c r="AA72" s="10"/>
      <c r="AB72" s="4"/>
      <c r="AC72" s="4"/>
      <c r="AD72" s="10"/>
      <c r="AE72" s="4"/>
      <c r="AF72" s="4"/>
    </row>
    <row r="73" spans="1:32" x14ac:dyDescent="0.2">
      <c r="A73" s="145"/>
      <c r="B73" s="146" t="s">
        <v>482</v>
      </c>
      <c r="C73" s="146">
        <f>C61</f>
        <v>3700</v>
      </c>
      <c r="D73" s="147">
        <f>AVERAGE(D61:D72)</f>
        <v>0.33408333333333334</v>
      </c>
      <c r="E73" s="147">
        <f>AVERAGE(E61:E72)</f>
        <v>0.12358333333333334</v>
      </c>
      <c r="F73" s="146">
        <f>F61</f>
        <v>3700</v>
      </c>
      <c r="G73" s="147">
        <f t="shared" ref="G73:H73" si="118">AVERAGE(G61:G72)</f>
        <v>0.34208333333333335</v>
      </c>
      <c r="H73" s="147">
        <f t="shared" si="118"/>
        <v>0.1265</v>
      </c>
      <c r="I73" s="146">
        <f>I61</f>
        <v>3700</v>
      </c>
      <c r="J73" s="147">
        <f t="shared" ref="J73:K73" si="119">AVERAGE(J61:J72)</f>
        <v>0.32616666666666672</v>
      </c>
      <c r="K73" s="147">
        <f t="shared" si="119"/>
        <v>0.11241666666666666</v>
      </c>
      <c r="L73" s="146">
        <f>L61</f>
        <v>3700</v>
      </c>
      <c r="M73" s="147">
        <f t="shared" ref="M73:N73" si="120">AVERAGE(M61:M72)</f>
        <v>0.32766666666666666</v>
      </c>
      <c r="N73" s="147">
        <f t="shared" si="120"/>
        <v>0.10825000000000001</v>
      </c>
      <c r="O73" s="146">
        <f t="shared" ref="O73" si="121">SUM(O61:O72)</f>
        <v>3700</v>
      </c>
      <c r="P73" s="147">
        <f t="shared" ref="P73:Q73" si="122">AVERAGE(P61:P72)</f>
        <v>0.33900000000000002</v>
      </c>
      <c r="Q73" s="147">
        <f t="shared" si="122"/>
        <v>0.11325</v>
      </c>
      <c r="R73" s="146">
        <f t="shared" ref="R73" si="123">SUM(R61:R72)</f>
        <v>0</v>
      </c>
      <c r="S73" s="147">
        <f t="shared" ref="S73:T73" si="124">AVERAGE(S61:S72)</f>
        <v>0</v>
      </c>
      <c r="T73" s="147">
        <f t="shared" si="124"/>
        <v>0</v>
      </c>
      <c r="U73" s="146">
        <f t="shared" ref="U73" si="125">SUM(U61:U72)</f>
        <v>2157.4699999999998</v>
      </c>
      <c r="V73" s="147">
        <f t="shared" ref="V73:W73" si="126">AVERAGE(V61:V72)</f>
        <v>0.57500000000000007</v>
      </c>
      <c r="W73" s="147">
        <f t="shared" si="126"/>
        <v>0.20508333333333337</v>
      </c>
      <c r="X73" s="146">
        <f t="shared" ref="X73" si="127">SUM(X61:X72)</f>
        <v>0</v>
      </c>
      <c r="Y73" s="147">
        <f t="shared" ref="Y73:Z73" si="128">AVERAGE(Y61:Y72)</f>
        <v>0</v>
      </c>
      <c r="Z73" s="147">
        <f t="shared" si="128"/>
        <v>0</v>
      </c>
      <c r="AA73" s="146">
        <f t="shared" ref="AA73" si="129">SUM(AA61:AA72)</f>
        <v>0</v>
      </c>
      <c r="AB73" s="147">
        <f t="shared" ref="AB73:AC73" si="130">AVERAGE(AB61:AB72)</f>
        <v>0</v>
      </c>
      <c r="AC73" s="147">
        <f t="shared" si="130"/>
        <v>0</v>
      </c>
      <c r="AD73" s="146">
        <f t="shared" ref="AD73" si="131">SUM(AD61:AD72)</f>
        <v>0</v>
      </c>
      <c r="AE73" s="147">
        <f t="shared" ref="AE73:AF73" si="132">AVERAGE(AE61:AE72)</f>
        <v>0</v>
      </c>
      <c r="AF73" s="147">
        <f t="shared" si="132"/>
        <v>0</v>
      </c>
    </row>
    <row r="74" spans="1:32" x14ac:dyDescent="0.2">
      <c r="A74" s="149" t="s">
        <v>20</v>
      </c>
      <c r="B74" s="4"/>
      <c r="C74" s="144">
        <v>792</v>
      </c>
      <c r="D74" s="10">
        <v>0.33100000000000002</v>
      </c>
      <c r="E74" s="144">
        <v>0.121</v>
      </c>
      <c r="F74" s="144">
        <v>792</v>
      </c>
      <c r="G74" s="144">
        <v>0.33700000000000002</v>
      </c>
      <c r="H74" s="144">
        <v>0.125</v>
      </c>
      <c r="I74" s="144">
        <v>792</v>
      </c>
      <c r="J74" s="144">
        <v>0.32900000000000001</v>
      </c>
      <c r="K74" s="144">
        <v>0.11899999999999999</v>
      </c>
      <c r="L74" s="144">
        <v>792</v>
      </c>
      <c r="M74" s="144">
        <v>0.33700000000000002</v>
      </c>
      <c r="N74" s="144">
        <v>0.125</v>
      </c>
      <c r="O74" s="144">
        <v>792</v>
      </c>
      <c r="P74" s="144">
        <v>0.34</v>
      </c>
      <c r="Q74" s="144">
        <v>0.129</v>
      </c>
      <c r="R74" s="144">
        <v>792</v>
      </c>
      <c r="S74" s="144">
        <v>0.53200000000000003</v>
      </c>
      <c r="T74" s="144">
        <v>0.191</v>
      </c>
      <c r="U74" s="144">
        <v>792</v>
      </c>
      <c r="V74" s="144">
        <v>0.52100000000000002</v>
      </c>
      <c r="W74" s="144">
        <v>0.182</v>
      </c>
      <c r="X74" s="144">
        <v>792</v>
      </c>
      <c r="Y74" s="144">
        <v>0.54400000000000004</v>
      </c>
      <c r="Z74" s="144">
        <v>0.191</v>
      </c>
      <c r="AA74" s="144">
        <v>792</v>
      </c>
      <c r="AB74" s="144">
        <v>0.54700000000000004</v>
      </c>
      <c r="AC74" s="144">
        <v>0.193</v>
      </c>
      <c r="AD74" s="144">
        <v>792</v>
      </c>
      <c r="AE74" s="144">
        <v>0.54500000000000004</v>
      </c>
      <c r="AF74" s="144">
        <v>0.187</v>
      </c>
    </row>
    <row r="75" spans="1:32" x14ac:dyDescent="0.2">
      <c r="A75" s="148"/>
      <c r="B75" s="144"/>
      <c r="C75" s="144"/>
      <c r="D75" s="4">
        <v>0.34899999999999998</v>
      </c>
      <c r="E75" s="4">
        <v>0.13700000000000001</v>
      </c>
      <c r="F75" s="10"/>
      <c r="G75" s="4">
        <v>0.35699999999999998</v>
      </c>
      <c r="H75" s="4">
        <v>0.123</v>
      </c>
      <c r="I75" s="10"/>
      <c r="J75" s="4">
        <v>0.34100000000000003</v>
      </c>
      <c r="K75" s="4">
        <v>0.10299999999999999</v>
      </c>
      <c r="L75" s="10"/>
      <c r="M75" s="4">
        <v>0.32500000000000001</v>
      </c>
      <c r="N75" s="4">
        <v>0.106</v>
      </c>
      <c r="O75" s="10"/>
      <c r="P75" s="4">
        <v>0.33900000000000002</v>
      </c>
      <c r="Q75" s="4">
        <v>0.112</v>
      </c>
      <c r="R75" s="10"/>
      <c r="S75" s="4">
        <v>0.51600000000000001</v>
      </c>
      <c r="T75" s="4">
        <v>0.20300000000000001</v>
      </c>
      <c r="U75" s="10"/>
      <c r="V75" s="4">
        <v>0.58099999999999996</v>
      </c>
      <c r="W75" s="4">
        <v>0.20399999999999999</v>
      </c>
      <c r="X75" s="10"/>
      <c r="Y75" s="4">
        <v>0.60399999999999998</v>
      </c>
      <c r="Z75" s="4">
        <v>0.21</v>
      </c>
      <c r="AA75" s="10"/>
      <c r="AB75" s="4">
        <v>0.63200000000000001</v>
      </c>
      <c r="AC75" s="4">
        <v>0.218</v>
      </c>
      <c r="AD75" s="10"/>
      <c r="AE75" s="4">
        <v>0.64300000000000002</v>
      </c>
      <c r="AF75" s="4">
        <v>0.22700000000000001</v>
      </c>
    </row>
    <row r="76" spans="1:32" x14ac:dyDescent="0.2">
      <c r="A76" s="148"/>
      <c r="B76" s="144"/>
      <c r="C76" s="144"/>
      <c r="D76" s="4">
        <v>0.34799999999999998</v>
      </c>
      <c r="E76" s="4">
        <v>0.121</v>
      </c>
      <c r="F76" s="10"/>
      <c r="G76" s="4">
        <v>0.34100000000000003</v>
      </c>
      <c r="H76" s="4">
        <v>0.113</v>
      </c>
      <c r="I76" s="10"/>
      <c r="J76" s="4">
        <v>0.32200000000000001</v>
      </c>
      <c r="K76" s="4">
        <v>0.107</v>
      </c>
      <c r="L76" s="10"/>
      <c r="M76" s="4">
        <v>0.318</v>
      </c>
      <c r="N76" s="4">
        <v>0.11700000000000001</v>
      </c>
      <c r="O76" s="10"/>
      <c r="P76" s="4">
        <v>0.33100000000000002</v>
      </c>
      <c r="Q76" s="4">
        <v>0.125</v>
      </c>
      <c r="R76" s="10"/>
      <c r="S76" s="4">
        <v>0.50900000000000001</v>
      </c>
      <c r="T76" s="4">
        <v>0.186</v>
      </c>
      <c r="U76" s="10"/>
      <c r="V76" s="4">
        <v>0.54300000000000004</v>
      </c>
      <c r="W76" s="4">
        <v>0.20100000000000001</v>
      </c>
      <c r="X76" s="10"/>
      <c r="Y76" s="4">
        <v>0.60699999999999998</v>
      </c>
      <c r="Z76" s="4">
        <v>0.21299999999999999</v>
      </c>
      <c r="AA76" s="10"/>
      <c r="AB76" s="4">
        <v>0.625</v>
      </c>
      <c r="AC76" s="4">
        <v>0.20699999999999999</v>
      </c>
      <c r="AD76" s="10"/>
      <c r="AE76" s="4">
        <v>0.65300000000000002</v>
      </c>
      <c r="AF76" s="4">
        <v>0.221</v>
      </c>
    </row>
    <row r="77" spans="1:32" x14ac:dyDescent="0.2">
      <c r="A77" s="148"/>
      <c r="B77" s="144"/>
      <c r="C77" s="144"/>
      <c r="D77" s="4">
        <v>0.29799999999999999</v>
      </c>
      <c r="E77" s="4">
        <v>0.10199999999999999</v>
      </c>
      <c r="F77" s="10"/>
      <c r="G77" s="4">
        <v>0.32200000000000001</v>
      </c>
      <c r="H77" s="4">
        <v>0.13700000000000001</v>
      </c>
      <c r="I77" s="10"/>
      <c r="J77" s="4">
        <v>0.313</v>
      </c>
      <c r="K77" s="4">
        <v>0.124</v>
      </c>
      <c r="L77" s="10"/>
      <c r="M77" s="4">
        <v>0.33900000000000002</v>
      </c>
      <c r="N77" s="4">
        <v>0.109</v>
      </c>
      <c r="O77" s="10"/>
      <c r="P77" s="4">
        <v>0.34300000000000003</v>
      </c>
      <c r="Q77" s="4">
        <v>0.107</v>
      </c>
      <c r="R77" s="10"/>
      <c r="S77" s="4">
        <v>0.51</v>
      </c>
      <c r="T77" s="4">
        <v>0.18099999999999999</v>
      </c>
      <c r="U77" s="10"/>
      <c r="V77" s="4">
        <v>0.59699999999999998</v>
      </c>
      <c r="W77" s="4">
        <v>0.20899999999999999</v>
      </c>
      <c r="X77" s="10"/>
      <c r="Y77" s="4">
        <v>0.61499999999999999</v>
      </c>
      <c r="Z77" s="4">
        <v>0.217</v>
      </c>
      <c r="AA77" s="10"/>
      <c r="AB77" s="4">
        <v>0.61699999999999999</v>
      </c>
      <c r="AC77" s="4">
        <v>0.20499999999999999</v>
      </c>
      <c r="AD77" s="10"/>
      <c r="AE77" s="4">
        <v>0.63200000000000001</v>
      </c>
      <c r="AF77" s="4">
        <v>0.219</v>
      </c>
    </row>
    <row r="78" spans="1:32" x14ac:dyDescent="0.2">
      <c r="A78" s="145"/>
      <c r="B78" s="146" t="s">
        <v>483</v>
      </c>
      <c r="C78" s="146">
        <f>C74</f>
        <v>792</v>
      </c>
      <c r="D78" s="147">
        <f>AVERAGE(D74:D77)</f>
        <v>0.33150000000000002</v>
      </c>
      <c r="E78" s="147">
        <f>AVERAGE(E74:E77)</f>
        <v>0.12025</v>
      </c>
      <c r="F78" s="146">
        <f>F74</f>
        <v>792</v>
      </c>
      <c r="G78" s="147">
        <f>AVERAGE(G74:G77)</f>
        <v>0.33925</v>
      </c>
      <c r="H78" s="147">
        <f>AVERAGE(H74:H77)</f>
        <v>0.1245</v>
      </c>
      <c r="I78" s="146">
        <f>I74</f>
        <v>792</v>
      </c>
      <c r="J78" s="147">
        <f>AVERAGE(J74:J77)</f>
        <v>0.32624999999999998</v>
      </c>
      <c r="K78" s="147">
        <f>AVERAGE(K74:K77)</f>
        <v>0.11324999999999999</v>
      </c>
      <c r="L78" s="146">
        <f>L74</f>
        <v>792</v>
      </c>
      <c r="M78" s="147">
        <f>AVERAGE(M74:M77)</f>
        <v>0.32974999999999999</v>
      </c>
      <c r="N78" s="147">
        <f>AVERAGE(N74:N77)</f>
        <v>0.11424999999999999</v>
      </c>
      <c r="O78" s="146">
        <f>SUM(O74:O77)</f>
        <v>792</v>
      </c>
      <c r="P78" s="147">
        <f>AVERAGE(P74:P77)</f>
        <v>0.33825</v>
      </c>
      <c r="Q78" s="147">
        <f>AVERAGE(Q74:Q77)</f>
        <v>0.11824999999999999</v>
      </c>
      <c r="R78" s="146">
        <f t="shared" ref="R78" si="133">SUM(R74:R77)</f>
        <v>792</v>
      </c>
      <c r="S78" s="147">
        <f t="shared" ref="S78:T78" si="134">AVERAGE(S74:S77)</f>
        <v>0.51675000000000004</v>
      </c>
      <c r="T78" s="147">
        <f t="shared" si="134"/>
        <v>0.19025000000000003</v>
      </c>
      <c r="U78" s="146">
        <f t="shared" ref="U78" si="135">SUM(U74:U77)</f>
        <v>792</v>
      </c>
      <c r="V78" s="147">
        <f t="shared" ref="V78:W78" si="136">AVERAGE(V74:V77)</f>
        <v>0.5605</v>
      </c>
      <c r="W78" s="147">
        <f t="shared" si="136"/>
        <v>0.19899999999999998</v>
      </c>
      <c r="X78" s="146">
        <f t="shared" ref="X78" si="137">SUM(X74:X77)</f>
        <v>792</v>
      </c>
      <c r="Y78" s="147">
        <f t="shared" ref="Y78:Z78" si="138">AVERAGE(Y74:Y77)</f>
        <v>0.59250000000000003</v>
      </c>
      <c r="Z78" s="147">
        <f t="shared" si="138"/>
        <v>0.20774999999999999</v>
      </c>
      <c r="AA78" s="146">
        <f t="shared" ref="AA78" si="139">SUM(AA74:AA77)</f>
        <v>792</v>
      </c>
      <c r="AB78" s="147">
        <f t="shared" ref="AB78:AC78" si="140">AVERAGE(AB74:AB77)</f>
        <v>0.60525000000000007</v>
      </c>
      <c r="AC78" s="147">
        <f t="shared" si="140"/>
        <v>0.20574999999999999</v>
      </c>
      <c r="AD78" s="146">
        <f t="shared" ref="AD78" si="141">SUM(AD74:AD77)</f>
        <v>792</v>
      </c>
      <c r="AE78" s="147">
        <f t="shared" ref="AE78:AF78" si="142">AVERAGE(AE74:AE77)</f>
        <v>0.61825000000000008</v>
      </c>
      <c r="AF78" s="147">
        <f t="shared" si="142"/>
        <v>0.2135</v>
      </c>
    </row>
    <row r="79" spans="1:32" x14ac:dyDescent="0.2">
      <c r="A79" s="148" t="s">
        <v>21</v>
      </c>
      <c r="B79" s="4"/>
      <c r="C79" s="144">
        <v>1744.74</v>
      </c>
      <c r="D79" s="4">
        <v>0.34799999999999998</v>
      </c>
      <c r="E79" s="4">
        <v>0.121</v>
      </c>
      <c r="F79" s="144">
        <v>1744.74</v>
      </c>
      <c r="G79" s="4">
        <v>0.34100000000000003</v>
      </c>
      <c r="H79" s="4">
        <v>0.113</v>
      </c>
      <c r="I79" s="144">
        <v>1744.74</v>
      </c>
      <c r="J79" s="4">
        <v>0.32200000000000001</v>
      </c>
      <c r="K79" s="4">
        <v>0.107</v>
      </c>
      <c r="L79" s="144">
        <v>1744.74</v>
      </c>
      <c r="M79" s="4">
        <v>0.318</v>
      </c>
      <c r="N79" s="4">
        <v>0.11700000000000001</v>
      </c>
      <c r="O79" s="144">
        <v>1744.74</v>
      </c>
      <c r="P79" s="4">
        <v>0.33100000000000002</v>
      </c>
      <c r="Q79" s="4">
        <v>0.125</v>
      </c>
      <c r="R79" s="4">
        <v>0</v>
      </c>
      <c r="S79" s="4">
        <v>0</v>
      </c>
      <c r="T79" s="4">
        <v>0</v>
      </c>
      <c r="U79" s="10">
        <v>0</v>
      </c>
      <c r="V79" s="4">
        <v>0</v>
      </c>
      <c r="W79" s="4">
        <v>0</v>
      </c>
      <c r="X79" s="10">
        <v>0</v>
      </c>
      <c r="Y79" s="4">
        <v>0</v>
      </c>
      <c r="Z79" s="4">
        <v>0</v>
      </c>
      <c r="AA79" s="10">
        <v>0</v>
      </c>
      <c r="AB79" s="4">
        <v>0</v>
      </c>
      <c r="AC79" s="4">
        <v>0</v>
      </c>
      <c r="AD79" s="10">
        <v>0</v>
      </c>
      <c r="AE79" s="4">
        <v>0</v>
      </c>
      <c r="AF79" s="4">
        <v>0</v>
      </c>
    </row>
    <row r="80" spans="1:32" x14ac:dyDescent="0.2">
      <c r="A80" s="10"/>
      <c r="B80" s="144"/>
      <c r="C80" s="144"/>
      <c r="D80" s="4">
        <v>0.29799999999999999</v>
      </c>
      <c r="E80" s="4">
        <v>0.10199999999999999</v>
      </c>
      <c r="F80" s="10"/>
      <c r="G80" s="4">
        <v>0.32200000000000001</v>
      </c>
      <c r="H80" s="4">
        <v>0.13700000000000001</v>
      </c>
      <c r="I80" s="10"/>
      <c r="J80" s="4">
        <v>0.313</v>
      </c>
      <c r="K80" s="4">
        <v>0.124</v>
      </c>
      <c r="L80" s="10"/>
      <c r="M80" s="4">
        <v>0.33900000000000002</v>
      </c>
      <c r="N80" s="4">
        <v>0.109</v>
      </c>
      <c r="O80" s="10"/>
      <c r="P80" s="4">
        <v>0.34300000000000003</v>
      </c>
      <c r="Q80" s="4">
        <v>0.107</v>
      </c>
      <c r="R80" s="10"/>
      <c r="S80" s="4"/>
      <c r="T80" s="4"/>
      <c r="U80" s="10"/>
      <c r="V80" s="4"/>
      <c r="W80" s="4"/>
      <c r="X80" s="10"/>
      <c r="Y80" s="4"/>
      <c r="Z80" s="4"/>
      <c r="AA80" s="10"/>
      <c r="AB80" s="4"/>
      <c r="AC80" s="4"/>
      <c r="AD80" s="10"/>
      <c r="AE80" s="4"/>
      <c r="AF80" s="4"/>
    </row>
    <row r="81" spans="1:32" x14ac:dyDescent="0.2">
      <c r="A81" s="10"/>
      <c r="B81" s="144"/>
      <c r="C81" s="144"/>
      <c r="D81" s="4">
        <v>0.33800000000000002</v>
      </c>
      <c r="E81" s="4">
        <v>0.14099999999999999</v>
      </c>
      <c r="F81" s="10"/>
      <c r="G81" s="4">
        <v>0.34200000000000003</v>
      </c>
      <c r="H81" s="4">
        <v>0.14399999999999999</v>
      </c>
      <c r="I81" s="10"/>
      <c r="J81" s="4">
        <v>0.35099999999999998</v>
      </c>
      <c r="K81" s="4">
        <v>0.11700000000000001</v>
      </c>
      <c r="L81" s="10"/>
      <c r="M81" s="4">
        <v>0.32700000000000001</v>
      </c>
      <c r="N81" s="4">
        <v>0.104</v>
      </c>
      <c r="O81" s="10"/>
      <c r="P81" s="4">
        <v>0.32800000000000001</v>
      </c>
      <c r="Q81" s="4">
        <v>0.123</v>
      </c>
      <c r="R81" s="10"/>
      <c r="S81" s="4"/>
      <c r="T81" s="4"/>
      <c r="U81" s="10"/>
      <c r="V81" s="4"/>
      <c r="W81" s="4"/>
      <c r="X81" s="10"/>
      <c r="Y81" s="4"/>
      <c r="Z81" s="4"/>
      <c r="AA81" s="10"/>
      <c r="AB81" s="4"/>
      <c r="AC81" s="4"/>
      <c r="AD81" s="10"/>
      <c r="AE81" s="4"/>
      <c r="AF81" s="4"/>
    </row>
    <row r="82" spans="1:32" x14ac:dyDescent="0.2">
      <c r="A82" s="10"/>
      <c r="B82" s="144"/>
      <c r="C82" s="144"/>
      <c r="D82" s="4">
        <v>0.33900000000000002</v>
      </c>
      <c r="E82" s="4">
        <v>0.109</v>
      </c>
      <c r="F82" s="10"/>
      <c r="G82" s="4">
        <v>0.34300000000000003</v>
      </c>
      <c r="H82" s="4">
        <v>0.107</v>
      </c>
      <c r="I82" s="10"/>
      <c r="J82" s="4">
        <v>0.51</v>
      </c>
      <c r="K82" s="4">
        <v>0.18099999999999999</v>
      </c>
      <c r="L82" s="10"/>
      <c r="M82" s="4">
        <v>0.59699999999999998</v>
      </c>
      <c r="N82" s="4">
        <v>0.20899999999999999</v>
      </c>
      <c r="O82" s="10"/>
      <c r="P82" s="4">
        <v>0.61499999999999999</v>
      </c>
      <c r="Q82" s="4">
        <v>0.217</v>
      </c>
      <c r="R82" s="10"/>
      <c r="S82" s="4"/>
      <c r="T82" s="4"/>
      <c r="U82" s="10"/>
      <c r="V82" s="4"/>
      <c r="W82" s="4"/>
      <c r="X82" s="10"/>
      <c r="Y82" s="4"/>
      <c r="Z82" s="4"/>
      <c r="AA82" s="10"/>
      <c r="AB82" s="4"/>
      <c r="AC82" s="4"/>
      <c r="AD82" s="10"/>
      <c r="AE82" s="117"/>
      <c r="AF82" s="117"/>
    </row>
    <row r="83" spans="1:32" x14ac:dyDescent="0.2">
      <c r="A83" s="10"/>
      <c r="B83" s="144"/>
      <c r="C83" s="144"/>
      <c r="D83" s="4">
        <v>0.29799999999999999</v>
      </c>
      <c r="E83" s="4">
        <v>0.10199999999999999</v>
      </c>
      <c r="F83" s="10"/>
      <c r="G83" s="4">
        <v>0.32200000000000001</v>
      </c>
      <c r="H83" s="4">
        <v>0.13700000000000001</v>
      </c>
      <c r="I83" s="10"/>
      <c r="J83" s="4">
        <v>0.313</v>
      </c>
      <c r="K83" s="4">
        <v>0.124</v>
      </c>
      <c r="L83" s="10"/>
      <c r="M83" s="4">
        <v>0.33900000000000002</v>
      </c>
      <c r="N83" s="4">
        <v>0.109</v>
      </c>
      <c r="O83" s="10"/>
      <c r="P83" s="4">
        <v>0.34300000000000003</v>
      </c>
      <c r="Q83" s="4">
        <v>0.107</v>
      </c>
      <c r="R83" s="10"/>
      <c r="S83" s="4"/>
      <c r="T83" s="4"/>
      <c r="U83" s="10"/>
      <c r="V83" s="4"/>
      <c r="W83" s="4"/>
      <c r="X83" s="10"/>
      <c r="Y83" s="4"/>
      <c r="Z83" s="4"/>
      <c r="AA83" s="10"/>
      <c r="AB83" s="4"/>
      <c r="AC83" s="4"/>
      <c r="AD83" s="10"/>
      <c r="AE83" s="4"/>
      <c r="AF83" s="4"/>
    </row>
    <row r="84" spans="1:32" x14ac:dyDescent="0.2">
      <c r="A84" s="10"/>
      <c r="B84" s="144"/>
      <c r="C84" s="144"/>
      <c r="D84" s="4">
        <v>0.33800000000000002</v>
      </c>
      <c r="E84" s="4">
        <v>0.14099999999999999</v>
      </c>
      <c r="F84" s="10"/>
      <c r="G84" s="4">
        <v>0.34200000000000003</v>
      </c>
      <c r="H84" s="4">
        <v>0.14399999999999999</v>
      </c>
      <c r="I84" s="10"/>
      <c r="J84" s="4">
        <v>0.35099999999999998</v>
      </c>
      <c r="K84" s="4">
        <v>0.11700000000000001</v>
      </c>
      <c r="L84" s="10"/>
      <c r="M84" s="4">
        <v>0.32700000000000001</v>
      </c>
      <c r="N84" s="4">
        <v>0.104</v>
      </c>
      <c r="O84" s="10"/>
      <c r="P84" s="4">
        <v>0.32800000000000001</v>
      </c>
      <c r="Q84" s="4">
        <v>0.123</v>
      </c>
      <c r="R84" s="10"/>
      <c r="S84" s="4"/>
      <c r="T84" s="4"/>
      <c r="U84" s="10"/>
      <c r="V84" s="4"/>
      <c r="W84" s="4"/>
      <c r="X84" s="10"/>
      <c r="Y84" s="4"/>
      <c r="Z84" s="4"/>
      <c r="AA84" s="10"/>
      <c r="AB84" s="4"/>
      <c r="AC84" s="4"/>
      <c r="AD84" s="10"/>
      <c r="AE84" s="4"/>
      <c r="AF84" s="4"/>
    </row>
    <row r="85" spans="1:32" x14ac:dyDescent="0.2">
      <c r="A85" s="145"/>
      <c r="B85" s="146" t="s">
        <v>484</v>
      </c>
      <c r="C85" s="146">
        <f>C79</f>
        <v>1744.74</v>
      </c>
      <c r="D85" s="147">
        <f>AVERAGE(D79:D84)</f>
        <v>0.32650000000000001</v>
      </c>
      <c r="E85" s="147">
        <f>AVERAGE(E79:E84)</f>
        <v>0.11933333333333333</v>
      </c>
      <c r="F85" s="146">
        <f>F79</f>
        <v>1744.74</v>
      </c>
      <c r="G85" s="147">
        <f t="shared" ref="G85:H85" si="143">AVERAGE(G79:G84)</f>
        <v>0.33533333333333332</v>
      </c>
      <c r="H85" s="147">
        <f t="shared" si="143"/>
        <v>0.13033333333333333</v>
      </c>
      <c r="I85" s="146">
        <f>I79</f>
        <v>1744.74</v>
      </c>
      <c r="J85" s="147">
        <f t="shared" ref="J85:K85" si="144">AVERAGE(J79:J84)</f>
        <v>0.36000000000000004</v>
      </c>
      <c r="K85" s="147">
        <f t="shared" si="144"/>
        <v>0.12833333333333333</v>
      </c>
      <c r="L85" s="146">
        <f>L79</f>
        <v>1744.74</v>
      </c>
      <c r="M85" s="147">
        <f t="shared" ref="M85:N85" si="145">AVERAGE(M79:M84)</f>
        <v>0.3745</v>
      </c>
      <c r="N85" s="147">
        <f t="shared" si="145"/>
        <v>0.12533333333333332</v>
      </c>
      <c r="O85" s="146">
        <f t="shared" ref="O85" si="146">SUM(O79:O84)</f>
        <v>1744.74</v>
      </c>
      <c r="P85" s="147">
        <f t="shared" ref="P85:Q85" si="147">AVERAGE(P79:P84)</f>
        <v>0.3813333333333333</v>
      </c>
      <c r="Q85" s="147">
        <f t="shared" si="147"/>
        <v>0.13366666666666666</v>
      </c>
      <c r="R85" s="146">
        <f t="shared" ref="R85" si="148">SUM(R79:R84)</f>
        <v>0</v>
      </c>
      <c r="S85" s="147">
        <f t="shared" ref="S85:T85" si="149">AVERAGE(S79:S84)</f>
        <v>0</v>
      </c>
      <c r="T85" s="147">
        <f t="shared" si="149"/>
        <v>0</v>
      </c>
      <c r="U85" s="146">
        <f t="shared" ref="U85" si="150">SUM(U79:U84)</f>
        <v>0</v>
      </c>
      <c r="V85" s="147">
        <f t="shared" ref="V85:W85" si="151">AVERAGE(V79:V84)</f>
        <v>0</v>
      </c>
      <c r="W85" s="147">
        <f t="shared" si="151"/>
        <v>0</v>
      </c>
      <c r="X85" s="146">
        <f t="shared" ref="X85" si="152">SUM(X79:X84)</f>
        <v>0</v>
      </c>
      <c r="Y85" s="147">
        <f t="shared" ref="Y85:Z85" si="153">AVERAGE(Y79:Y84)</f>
        <v>0</v>
      </c>
      <c r="Z85" s="147">
        <f t="shared" si="153"/>
        <v>0</v>
      </c>
      <c r="AA85" s="146">
        <f t="shared" ref="AA85" si="154">SUM(AA79:AA84)</f>
        <v>0</v>
      </c>
      <c r="AB85" s="147">
        <f t="shared" ref="AB85:AC85" si="155">AVERAGE(AB79:AB84)</f>
        <v>0</v>
      </c>
      <c r="AC85" s="147">
        <f t="shared" si="155"/>
        <v>0</v>
      </c>
      <c r="AD85" s="146">
        <f t="shared" ref="AD85" si="156">SUM(AD79:AD84)</f>
        <v>0</v>
      </c>
      <c r="AE85" s="147">
        <f t="shared" ref="AE85:AF85" si="157">AVERAGE(AE79:AE84)</f>
        <v>0</v>
      </c>
      <c r="AF85" s="147">
        <f t="shared" si="157"/>
        <v>0</v>
      </c>
    </row>
    <row r="86" spans="1:32" x14ac:dyDescent="0.2">
      <c r="A86" s="148" t="s">
        <v>22</v>
      </c>
      <c r="B86" s="4"/>
      <c r="C86" s="144">
        <v>1229.28</v>
      </c>
      <c r="D86" s="4">
        <v>0.29799999999999999</v>
      </c>
      <c r="E86" s="4">
        <v>0.10199999999999999</v>
      </c>
      <c r="F86" s="144">
        <v>1229.28</v>
      </c>
      <c r="G86" s="4">
        <v>0.32200000000000001</v>
      </c>
      <c r="H86" s="4">
        <v>0.13700000000000001</v>
      </c>
      <c r="I86" s="144">
        <v>1229.28</v>
      </c>
      <c r="J86" s="4">
        <v>0.313</v>
      </c>
      <c r="K86" s="4">
        <v>0.124</v>
      </c>
      <c r="L86" s="144">
        <v>1229.28</v>
      </c>
      <c r="M86" s="4">
        <v>0.33900000000000002</v>
      </c>
      <c r="N86" s="4">
        <v>0.109</v>
      </c>
      <c r="O86" s="144">
        <v>1229.28</v>
      </c>
      <c r="P86" s="4">
        <v>0.34300000000000003</v>
      </c>
      <c r="Q86" s="4">
        <v>0.107</v>
      </c>
      <c r="R86" s="4">
        <v>0</v>
      </c>
      <c r="S86" s="4">
        <v>0</v>
      </c>
      <c r="T86" s="4">
        <v>0</v>
      </c>
      <c r="U86" s="10">
        <v>0</v>
      </c>
      <c r="V86" s="4">
        <v>0</v>
      </c>
      <c r="W86" s="4">
        <v>0</v>
      </c>
      <c r="X86" s="10">
        <v>0</v>
      </c>
      <c r="Y86" s="4">
        <v>0</v>
      </c>
      <c r="Z86" s="4">
        <v>0</v>
      </c>
      <c r="AA86" s="10">
        <v>0</v>
      </c>
      <c r="AB86" s="4">
        <v>0</v>
      </c>
      <c r="AC86" s="4">
        <v>0</v>
      </c>
      <c r="AD86" s="10">
        <v>0</v>
      </c>
      <c r="AE86" s="4">
        <v>0</v>
      </c>
      <c r="AF86" s="4">
        <v>0</v>
      </c>
    </row>
    <row r="87" spans="1:32" x14ac:dyDescent="0.2">
      <c r="A87" s="10"/>
      <c r="B87" s="144"/>
      <c r="C87" s="144"/>
      <c r="D87" s="4">
        <v>0.33800000000000002</v>
      </c>
      <c r="E87" s="4">
        <v>0.14099999999999999</v>
      </c>
      <c r="F87" s="10"/>
      <c r="G87" s="4">
        <v>0.34200000000000003</v>
      </c>
      <c r="H87" s="4">
        <v>0.14399999999999999</v>
      </c>
      <c r="I87" s="10"/>
      <c r="J87" s="4">
        <v>0.35099999999999998</v>
      </c>
      <c r="K87" s="4">
        <v>0.11700000000000001</v>
      </c>
      <c r="L87" s="10"/>
      <c r="M87" s="4">
        <v>0.32700000000000001</v>
      </c>
      <c r="N87" s="4">
        <v>0.104</v>
      </c>
      <c r="O87" s="10"/>
      <c r="P87" s="4">
        <v>0.32800000000000001</v>
      </c>
      <c r="Q87" s="4">
        <v>0.123</v>
      </c>
      <c r="R87" s="10"/>
      <c r="S87" s="4"/>
      <c r="T87" s="4"/>
      <c r="U87" s="10"/>
      <c r="V87" s="4"/>
      <c r="W87" s="4"/>
      <c r="X87" s="10"/>
      <c r="Y87" s="4"/>
      <c r="Z87" s="4"/>
      <c r="AA87" s="10"/>
      <c r="AB87" s="4"/>
      <c r="AC87" s="4"/>
      <c r="AD87" s="10"/>
      <c r="AE87" s="4"/>
      <c r="AF87" s="4"/>
    </row>
    <row r="88" spans="1:32" x14ac:dyDescent="0.2">
      <c r="A88" s="10"/>
      <c r="B88" s="144"/>
      <c r="C88" s="144"/>
      <c r="D88" s="4">
        <v>0.33900000000000002</v>
      </c>
      <c r="E88" s="4">
        <v>0.109</v>
      </c>
      <c r="F88" s="10"/>
      <c r="G88" s="4">
        <v>0.34300000000000003</v>
      </c>
      <c r="H88" s="4">
        <v>0.107</v>
      </c>
      <c r="I88" s="10"/>
      <c r="J88" s="4">
        <v>0.51</v>
      </c>
      <c r="K88" s="4">
        <v>0.18099999999999999</v>
      </c>
      <c r="L88" s="10"/>
      <c r="M88" s="4">
        <v>0.59699999999999998</v>
      </c>
      <c r="N88" s="4">
        <v>0.20899999999999999</v>
      </c>
      <c r="O88" s="10"/>
      <c r="P88" s="4">
        <v>0.61499999999999999</v>
      </c>
      <c r="Q88" s="4">
        <v>0.217</v>
      </c>
      <c r="R88" s="10"/>
      <c r="S88" s="4"/>
      <c r="T88" s="4"/>
      <c r="U88" s="10"/>
      <c r="V88" s="4"/>
      <c r="W88" s="4"/>
      <c r="X88" s="10"/>
      <c r="Y88" s="4"/>
      <c r="Z88" s="4"/>
      <c r="AA88" s="10"/>
      <c r="AB88" s="4"/>
      <c r="AC88" s="4"/>
      <c r="AD88" s="10"/>
      <c r="AE88" s="117"/>
      <c r="AF88" s="117"/>
    </row>
    <row r="89" spans="1:32" x14ac:dyDescent="0.2">
      <c r="A89" s="10"/>
      <c r="B89" s="144"/>
      <c r="C89" s="144"/>
      <c r="D89" s="4">
        <v>0.29799999999999999</v>
      </c>
      <c r="E89" s="4">
        <v>0.10199999999999999</v>
      </c>
      <c r="F89" s="10"/>
      <c r="G89" s="4">
        <v>0.32200000000000001</v>
      </c>
      <c r="H89" s="4">
        <v>0.13700000000000001</v>
      </c>
      <c r="I89" s="10"/>
      <c r="J89" s="4">
        <v>0.313</v>
      </c>
      <c r="K89" s="4">
        <v>0.124</v>
      </c>
      <c r="L89" s="10"/>
      <c r="M89" s="4">
        <v>0.33900000000000002</v>
      </c>
      <c r="N89" s="4">
        <v>0.109</v>
      </c>
      <c r="O89" s="10"/>
      <c r="P89" s="4">
        <v>0.34300000000000003</v>
      </c>
      <c r="Q89" s="4">
        <v>0.107</v>
      </c>
      <c r="R89" s="10"/>
      <c r="S89" s="4"/>
      <c r="T89" s="4"/>
      <c r="U89" s="10"/>
      <c r="V89" s="4"/>
      <c r="W89" s="4"/>
      <c r="X89" s="10"/>
      <c r="Y89" s="4"/>
      <c r="Z89" s="4"/>
      <c r="AA89" s="10"/>
      <c r="AB89" s="4"/>
      <c r="AC89" s="4"/>
      <c r="AD89" s="10"/>
      <c r="AE89" s="4"/>
      <c r="AF89" s="4"/>
    </row>
    <row r="90" spans="1:32" x14ac:dyDescent="0.2">
      <c r="A90" s="145"/>
      <c r="B90" s="146" t="s">
        <v>485</v>
      </c>
      <c r="C90" s="146">
        <f>C86</f>
        <v>1229.28</v>
      </c>
      <c r="D90" s="147">
        <f>AVERAGE(D86:D89)</f>
        <v>0.31825000000000003</v>
      </c>
      <c r="E90" s="147">
        <f>AVERAGE(E86:E89)</f>
        <v>0.11349999999999999</v>
      </c>
      <c r="F90" s="146">
        <f>F86</f>
        <v>1229.28</v>
      </c>
      <c r="G90" s="147">
        <f t="shared" ref="G90:H90" si="158">AVERAGE(G86:G89)</f>
        <v>0.33225000000000005</v>
      </c>
      <c r="H90" s="147">
        <f t="shared" si="158"/>
        <v>0.13125000000000001</v>
      </c>
      <c r="I90" s="146">
        <f>I86</f>
        <v>1229.28</v>
      </c>
      <c r="J90" s="147">
        <f t="shared" ref="J90:K90" si="159">AVERAGE(J86:J89)</f>
        <v>0.37174999999999997</v>
      </c>
      <c r="K90" s="147">
        <f t="shared" si="159"/>
        <v>0.13650000000000001</v>
      </c>
      <c r="L90" s="146">
        <f>L86</f>
        <v>1229.28</v>
      </c>
      <c r="M90" s="147">
        <f t="shared" ref="M90:N90" si="160">AVERAGE(M86:M89)</f>
        <v>0.40049999999999997</v>
      </c>
      <c r="N90" s="147">
        <f t="shared" si="160"/>
        <v>0.13275000000000001</v>
      </c>
      <c r="O90" s="146">
        <f t="shared" ref="O90" si="161">SUM(O86:O89)</f>
        <v>1229.28</v>
      </c>
      <c r="P90" s="147">
        <f t="shared" ref="P90:Q90" si="162">AVERAGE(P86:P89)</f>
        <v>0.40725</v>
      </c>
      <c r="Q90" s="147">
        <f t="shared" si="162"/>
        <v>0.13849999999999998</v>
      </c>
      <c r="R90" s="146">
        <f t="shared" ref="R90" si="163">SUM(R86:R89)</f>
        <v>0</v>
      </c>
      <c r="S90" s="147">
        <f t="shared" ref="S90:T90" si="164">AVERAGE(S86:S89)</f>
        <v>0</v>
      </c>
      <c r="T90" s="147">
        <f t="shared" si="164"/>
        <v>0</v>
      </c>
      <c r="U90" s="146">
        <f t="shared" ref="U90" si="165">SUM(U86:U89)</f>
        <v>0</v>
      </c>
      <c r="V90" s="147">
        <f t="shared" ref="V90:W90" si="166">AVERAGE(V86:V89)</f>
        <v>0</v>
      </c>
      <c r="W90" s="147">
        <f t="shared" si="166"/>
        <v>0</v>
      </c>
      <c r="X90" s="146">
        <f t="shared" ref="X90" si="167">SUM(X86:X89)</f>
        <v>0</v>
      </c>
      <c r="Y90" s="147">
        <f t="shared" ref="Y90:Z90" si="168">AVERAGE(Y86:Y89)</f>
        <v>0</v>
      </c>
      <c r="Z90" s="147">
        <f t="shared" si="168"/>
        <v>0</v>
      </c>
      <c r="AA90" s="146">
        <f t="shared" ref="AA90" si="169">SUM(AA86:AA89)</f>
        <v>0</v>
      </c>
      <c r="AB90" s="147">
        <f t="shared" ref="AB90:AC90" si="170">AVERAGE(AB86:AB89)</f>
        <v>0</v>
      </c>
      <c r="AC90" s="147">
        <f t="shared" si="170"/>
        <v>0</v>
      </c>
      <c r="AD90" s="146">
        <f t="shared" ref="AD90" si="171">SUM(AD86:AD89)</f>
        <v>0</v>
      </c>
      <c r="AE90" s="147">
        <f t="shared" ref="AE90:AF90" si="172">AVERAGE(AE86:AE89)</f>
        <v>0</v>
      </c>
      <c r="AF90" s="147">
        <f t="shared" si="172"/>
        <v>0</v>
      </c>
    </row>
    <row r="91" spans="1:32" x14ac:dyDescent="0.2">
      <c r="A91" s="148" t="s">
        <v>23</v>
      </c>
      <c r="B91" s="4"/>
      <c r="C91" s="144">
        <v>235.03200000000001</v>
      </c>
      <c r="D91" s="4">
        <v>0.29799999999999999</v>
      </c>
      <c r="E91" s="4">
        <v>0.10199999999999999</v>
      </c>
      <c r="F91" s="144">
        <v>235.03200000000001</v>
      </c>
      <c r="G91" s="4">
        <v>0.32200000000000001</v>
      </c>
      <c r="H91" s="4">
        <v>0.13700000000000001</v>
      </c>
      <c r="I91" s="144">
        <v>235.03200000000001</v>
      </c>
      <c r="J91" s="4">
        <v>0.313</v>
      </c>
      <c r="K91" s="4">
        <v>0.124</v>
      </c>
      <c r="L91" s="144">
        <v>235.03200000000001</v>
      </c>
      <c r="M91" s="4">
        <v>0.33900000000000002</v>
      </c>
      <c r="N91" s="4">
        <v>0.109</v>
      </c>
      <c r="O91" s="144">
        <v>235.03200000000001</v>
      </c>
      <c r="P91" s="4">
        <v>0.34300000000000003</v>
      </c>
      <c r="Q91" s="4">
        <v>0.107</v>
      </c>
      <c r="R91" s="4">
        <v>0</v>
      </c>
      <c r="S91" s="4">
        <v>0</v>
      </c>
      <c r="T91" s="4">
        <v>0</v>
      </c>
      <c r="U91" s="10">
        <v>0</v>
      </c>
      <c r="V91" s="4">
        <v>0</v>
      </c>
      <c r="W91" s="4">
        <v>0</v>
      </c>
      <c r="X91" s="10">
        <v>0</v>
      </c>
      <c r="Y91" s="4">
        <v>0</v>
      </c>
      <c r="Z91" s="4">
        <v>0</v>
      </c>
      <c r="AA91" s="10">
        <v>0</v>
      </c>
      <c r="AB91" s="4">
        <v>0</v>
      </c>
      <c r="AC91" s="4">
        <v>0</v>
      </c>
      <c r="AD91" s="10">
        <v>0</v>
      </c>
      <c r="AE91" s="4">
        <v>0</v>
      </c>
      <c r="AF91" s="4">
        <v>0</v>
      </c>
    </row>
    <row r="92" spans="1:32" x14ac:dyDescent="0.2">
      <c r="A92" s="148"/>
      <c r="B92" s="144"/>
      <c r="C92" s="144"/>
      <c r="D92" s="4">
        <v>0.33800000000000002</v>
      </c>
      <c r="E92" s="4">
        <v>0.14099999999999999</v>
      </c>
      <c r="F92" s="10"/>
      <c r="G92" s="4">
        <v>0.34200000000000003</v>
      </c>
      <c r="H92" s="4">
        <v>0.14399999999999999</v>
      </c>
      <c r="I92" s="10"/>
      <c r="J92" s="4">
        <v>0.35099999999999998</v>
      </c>
      <c r="K92" s="4">
        <v>0.11700000000000001</v>
      </c>
      <c r="L92" s="10"/>
      <c r="M92" s="4">
        <v>0.32700000000000001</v>
      </c>
      <c r="N92" s="4">
        <v>0.104</v>
      </c>
      <c r="O92" s="10"/>
      <c r="P92" s="4">
        <v>0.32800000000000001</v>
      </c>
      <c r="Q92" s="4">
        <v>0.123</v>
      </c>
      <c r="R92" s="10"/>
      <c r="S92" s="4"/>
      <c r="T92" s="4"/>
      <c r="U92" s="10"/>
      <c r="V92" s="4"/>
      <c r="W92" s="4"/>
      <c r="X92" s="10"/>
      <c r="Y92" s="4"/>
      <c r="Z92" s="4"/>
      <c r="AA92" s="10"/>
      <c r="AB92" s="4"/>
      <c r="AC92" s="4"/>
      <c r="AD92" s="10"/>
      <c r="AE92" s="4"/>
      <c r="AF92" s="4"/>
    </row>
    <row r="93" spans="1:32" x14ac:dyDescent="0.2">
      <c r="A93" s="148"/>
      <c r="B93" s="144"/>
      <c r="C93" s="144"/>
      <c r="D93" s="4">
        <v>0.33900000000000002</v>
      </c>
      <c r="E93" s="4">
        <v>0.109</v>
      </c>
      <c r="F93" s="10"/>
      <c r="G93" s="4">
        <v>0.34300000000000003</v>
      </c>
      <c r="H93" s="4">
        <v>0.107</v>
      </c>
      <c r="I93" s="10"/>
      <c r="J93" s="4">
        <v>0.51</v>
      </c>
      <c r="K93" s="4">
        <v>0.18099999999999999</v>
      </c>
      <c r="L93" s="10"/>
      <c r="M93" s="4">
        <v>0.59699999999999998</v>
      </c>
      <c r="N93" s="4">
        <v>0.20899999999999999</v>
      </c>
      <c r="O93" s="10"/>
      <c r="P93" s="4">
        <v>0.61499999999999999</v>
      </c>
      <c r="Q93" s="4">
        <v>0.217</v>
      </c>
      <c r="R93" s="10"/>
      <c r="S93" s="4"/>
      <c r="T93" s="4"/>
      <c r="U93" s="10"/>
      <c r="V93" s="4"/>
      <c r="W93" s="4"/>
      <c r="X93" s="10"/>
      <c r="Y93" s="4"/>
      <c r="Z93" s="4"/>
      <c r="AA93" s="10"/>
      <c r="AB93" s="4"/>
      <c r="AC93" s="4"/>
      <c r="AD93" s="10"/>
      <c r="AE93" s="117"/>
      <c r="AF93" s="117"/>
    </row>
    <row r="94" spans="1:32" x14ac:dyDescent="0.2">
      <c r="A94" s="145"/>
      <c r="B94" s="146" t="s">
        <v>486</v>
      </c>
      <c r="C94" s="146">
        <f>C91</f>
        <v>235.03200000000001</v>
      </c>
      <c r="D94" s="147">
        <f>AVERAGE(D91:D93)</f>
        <v>0.32500000000000001</v>
      </c>
      <c r="E94" s="147">
        <f>AVERAGE(E91:E93)</f>
        <v>0.11733333333333333</v>
      </c>
      <c r="F94" s="146">
        <f>F91</f>
        <v>235.03200000000001</v>
      </c>
      <c r="G94" s="147">
        <f t="shared" ref="G94:H94" si="173">AVERAGE(G91:G93)</f>
        <v>0.33566666666666672</v>
      </c>
      <c r="H94" s="147">
        <f t="shared" si="173"/>
        <v>0.12933333333333333</v>
      </c>
      <c r="I94" s="146">
        <f>I91</f>
        <v>235.03200000000001</v>
      </c>
      <c r="J94" s="147">
        <f t="shared" ref="J94:K94" si="174">AVERAGE(J91:J93)</f>
        <v>0.39133333333333331</v>
      </c>
      <c r="K94" s="147">
        <f t="shared" si="174"/>
        <v>0.14066666666666666</v>
      </c>
      <c r="L94" s="146">
        <f>L91</f>
        <v>235.03200000000001</v>
      </c>
      <c r="M94" s="147">
        <f t="shared" ref="M94:N94" si="175">AVERAGE(M91:M93)</f>
        <v>0.42099999999999999</v>
      </c>
      <c r="N94" s="147">
        <f t="shared" si="175"/>
        <v>0.14066666666666666</v>
      </c>
      <c r="O94" s="146">
        <f t="shared" ref="O94" si="176">SUM(O91:O93)</f>
        <v>235.03200000000001</v>
      </c>
      <c r="P94" s="147">
        <f t="shared" ref="P94:Q94" si="177">AVERAGE(P91:P93)</f>
        <v>0.4286666666666667</v>
      </c>
      <c r="Q94" s="147">
        <f t="shared" si="177"/>
        <v>0.14899999999999999</v>
      </c>
      <c r="R94" s="146">
        <f t="shared" ref="R94" si="178">SUM(R91:R93)</f>
        <v>0</v>
      </c>
      <c r="S94" s="147">
        <f t="shared" ref="S94:T94" si="179">AVERAGE(S91:S93)</f>
        <v>0</v>
      </c>
      <c r="T94" s="147">
        <f t="shared" si="179"/>
        <v>0</v>
      </c>
      <c r="U94" s="146">
        <f t="shared" ref="U94" si="180">SUM(U91:U93)</f>
        <v>0</v>
      </c>
      <c r="V94" s="147">
        <f t="shared" ref="V94:W94" si="181">AVERAGE(V91:V93)</f>
        <v>0</v>
      </c>
      <c r="W94" s="147">
        <f t="shared" si="181"/>
        <v>0</v>
      </c>
      <c r="X94" s="146">
        <f t="shared" ref="X94" si="182">SUM(X91:X93)</f>
        <v>0</v>
      </c>
      <c r="Y94" s="147">
        <f t="shared" ref="Y94:Z94" si="183">AVERAGE(Y91:Y93)</f>
        <v>0</v>
      </c>
      <c r="Z94" s="147">
        <f t="shared" si="183"/>
        <v>0</v>
      </c>
      <c r="AA94" s="146">
        <f t="shared" ref="AA94" si="184">SUM(AA91:AA93)</f>
        <v>0</v>
      </c>
      <c r="AB94" s="147">
        <f t="shared" ref="AB94:AC94" si="185">AVERAGE(AB91:AB93)</f>
        <v>0</v>
      </c>
      <c r="AC94" s="147">
        <f t="shared" si="185"/>
        <v>0</v>
      </c>
      <c r="AD94" s="146">
        <f t="shared" ref="AD94" si="186">SUM(AD91:AD93)</f>
        <v>0</v>
      </c>
      <c r="AE94" s="147">
        <f t="shared" ref="AE94:AF94" si="187">AVERAGE(AE91:AE93)</f>
        <v>0</v>
      </c>
      <c r="AF94" s="147">
        <f t="shared" si="187"/>
        <v>0</v>
      </c>
    </row>
    <row r="95" spans="1:32" x14ac:dyDescent="0.2">
      <c r="A95" s="148" t="s">
        <v>24</v>
      </c>
      <c r="B95" s="4"/>
      <c r="C95" s="144">
        <v>2568.2039999999997</v>
      </c>
      <c r="D95" s="4">
        <v>0.29799999999999999</v>
      </c>
      <c r="E95" s="4">
        <v>0.10199999999999999</v>
      </c>
      <c r="F95" s="144">
        <v>2568.2039999999997</v>
      </c>
      <c r="G95" s="4">
        <v>0.32200000000000001</v>
      </c>
      <c r="H95" s="4">
        <v>0.13700000000000001</v>
      </c>
      <c r="I95" s="144">
        <v>2568.2039999999997</v>
      </c>
      <c r="J95" s="4">
        <v>0.313</v>
      </c>
      <c r="K95" s="4">
        <v>0.124</v>
      </c>
      <c r="L95" s="144">
        <v>2568.2039999999997</v>
      </c>
      <c r="M95" s="4">
        <v>0.33900000000000002</v>
      </c>
      <c r="N95" s="4">
        <v>0.109</v>
      </c>
      <c r="O95" s="144">
        <v>2568.2039999999997</v>
      </c>
      <c r="P95" s="4">
        <v>0.34300000000000003</v>
      </c>
      <c r="Q95" s="4">
        <v>0.107</v>
      </c>
      <c r="R95" s="4">
        <v>0</v>
      </c>
      <c r="S95" s="4">
        <v>0</v>
      </c>
      <c r="T95" s="4">
        <v>0</v>
      </c>
      <c r="U95" s="10">
        <v>0</v>
      </c>
      <c r="V95" s="4">
        <v>0</v>
      </c>
      <c r="W95" s="4">
        <v>0</v>
      </c>
      <c r="X95" s="10">
        <v>0</v>
      </c>
      <c r="Y95" s="4">
        <v>0</v>
      </c>
      <c r="Z95" s="4">
        <v>0</v>
      </c>
      <c r="AA95" s="10">
        <v>0</v>
      </c>
      <c r="AB95" s="4">
        <v>0</v>
      </c>
      <c r="AC95" s="4">
        <v>0</v>
      </c>
      <c r="AD95" s="10">
        <v>0</v>
      </c>
      <c r="AE95" s="4">
        <v>0</v>
      </c>
      <c r="AF95" s="4">
        <v>0</v>
      </c>
    </row>
    <row r="96" spans="1:32" x14ac:dyDescent="0.2">
      <c r="A96" s="148"/>
      <c r="B96" s="144"/>
      <c r="C96" s="144"/>
      <c r="D96" s="4">
        <v>0.34799999999999998</v>
      </c>
      <c r="E96" s="4">
        <v>0.121</v>
      </c>
      <c r="F96" s="10"/>
      <c r="G96" s="4">
        <v>0.34100000000000003</v>
      </c>
      <c r="H96" s="4">
        <v>0.113</v>
      </c>
      <c r="I96" s="10"/>
      <c r="J96" s="4">
        <v>0.34100000000000003</v>
      </c>
      <c r="K96" s="4">
        <v>0.10299999999999999</v>
      </c>
      <c r="L96" s="10"/>
      <c r="M96" s="4">
        <v>0.32500000000000001</v>
      </c>
      <c r="N96" s="4">
        <v>0.106</v>
      </c>
      <c r="O96" s="10"/>
      <c r="P96" s="4">
        <v>0.34300000000000003</v>
      </c>
      <c r="Q96" s="4">
        <v>0.107</v>
      </c>
      <c r="R96" s="10"/>
      <c r="S96" s="4"/>
      <c r="T96" s="4"/>
      <c r="U96" s="10"/>
      <c r="V96" s="4"/>
      <c r="W96" s="4"/>
      <c r="X96" s="10"/>
      <c r="Y96" s="4"/>
      <c r="Z96" s="4"/>
      <c r="AA96" s="10"/>
      <c r="AB96" s="4"/>
      <c r="AC96" s="4"/>
      <c r="AD96" s="10"/>
      <c r="AE96" s="4"/>
      <c r="AF96" s="4"/>
    </row>
    <row r="97" spans="1:32" x14ac:dyDescent="0.2">
      <c r="A97" s="148"/>
      <c r="B97" s="144"/>
      <c r="C97" s="144"/>
      <c r="D97" s="4">
        <v>0.33800000000000002</v>
      </c>
      <c r="E97" s="4">
        <v>0.14099999999999999</v>
      </c>
      <c r="F97" s="10"/>
      <c r="G97" s="4">
        <v>0.34200000000000003</v>
      </c>
      <c r="H97" s="4">
        <v>0.14399999999999999</v>
      </c>
      <c r="I97" s="10"/>
      <c r="J97" s="4">
        <v>0.35099999999999998</v>
      </c>
      <c r="K97" s="4">
        <v>0.11700000000000001</v>
      </c>
      <c r="L97" s="10"/>
      <c r="M97" s="4">
        <v>0.32700000000000001</v>
      </c>
      <c r="N97" s="4">
        <v>0.104</v>
      </c>
      <c r="O97" s="10"/>
      <c r="P97" s="4">
        <v>0.32800000000000001</v>
      </c>
      <c r="Q97" s="4">
        <v>0.123</v>
      </c>
      <c r="R97" s="10"/>
      <c r="S97" s="4"/>
      <c r="T97" s="4"/>
      <c r="U97" s="10"/>
      <c r="V97" s="4"/>
      <c r="W97" s="4"/>
      <c r="X97" s="10"/>
      <c r="Y97" s="4"/>
      <c r="Z97" s="4"/>
      <c r="AA97" s="10"/>
      <c r="AB97" s="4"/>
      <c r="AC97" s="4"/>
      <c r="AD97" s="10"/>
      <c r="AE97" s="4"/>
      <c r="AF97" s="4"/>
    </row>
    <row r="98" spans="1:32" x14ac:dyDescent="0.2">
      <c r="A98" s="148"/>
      <c r="B98" s="144"/>
      <c r="C98" s="144"/>
      <c r="D98" s="4">
        <v>0.33900000000000002</v>
      </c>
      <c r="E98" s="4">
        <v>0.109</v>
      </c>
      <c r="F98" s="10"/>
      <c r="G98" s="4">
        <v>0.34300000000000003</v>
      </c>
      <c r="H98" s="4">
        <v>0.107</v>
      </c>
      <c r="I98" s="10"/>
      <c r="J98" s="4">
        <v>0.51</v>
      </c>
      <c r="K98" s="4">
        <v>0.18099999999999999</v>
      </c>
      <c r="L98" s="10"/>
      <c r="M98" s="4">
        <v>0.59699999999999998</v>
      </c>
      <c r="N98" s="4">
        <v>0.20899999999999999</v>
      </c>
      <c r="O98" s="10"/>
      <c r="P98" s="4">
        <v>0.61499999999999999</v>
      </c>
      <c r="Q98" s="4">
        <v>0.217</v>
      </c>
      <c r="R98" s="10"/>
      <c r="S98" s="4"/>
      <c r="T98" s="4"/>
      <c r="U98" s="10"/>
      <c r="V98" s="4"/>
      <c r="W98" s="4"/>
      <c r="X98" s="10"/>
      <c r="Y98" s="4"/>
      <c r="Z98" s="4"/>
      <c r="AA98" s="10"/>
      <c r="AB98" s="4"/>
      <c r="AC98" s="4"/>
      <c r="AD98" s="10"/>
      <c r="AE98" s="117"/>
      <c r="AF98" s="117"/>
    </row>
    <row r="99" spans="1:32" x14ac:dyDescent="0.2">
      <c r="A99" s="148"/>
      <c r="B99" s="144"/>
      <c r="C99" s="144"/>
      <c r="D99" s="10">
        <v>0.27600000000000002</v>
      </c>
      <c r="E99" s="144">
        <v>0.11</v>
      </c>
      <c r="F99" s="10"/>
      <c r="G99" s="144">
        <v>0.27200000000000002</v>
      </c>
      <c r="H99" s="144">
        <v>0.114</v>
      </c>
      <c r="I99" s="10"/>
      <c r="J99" s="144">
        <v>0.27800000000000002</v>
      </c>
      <c r="K99" s="144">
        <v>0.112</v>
      </c>
      <c r="L99" s="10"/>
      <c r="M99" s="144">
        <v>0.27400000000000002</v>
      </c>
      <c r="N99" s="144">
        <v>0.113</v>
      </c>
      <c r="O99" s="10"/>
      <c r="P99" s="144">
        <v>0.27</v>
      </c>
      <c r="Q99" s="144">
        <v>0.11700000000000001</v>
      </c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</row>
    <row r="100" spans="1:32" x14ac:dyDescent="0.2">
      <c r="A100" s="145"/>
      <c r="B100" s="146" t="s">
        <v>487</v>
      </c>
      <c r="C100" s="146">
        <f>C95</f>
        <v>2568.2039999999997</v>
      </c>
      <c r="D100" s="147">
        <f>AVERAGE(D95:D99)</f>
        <v>0.31979999999999997</v>
      </c>
      <c r="E100" s="147">
        <f>AVERAGE(E95:E99)</f>
        <v>0.1166</v>
      </c>
      <c r="F100" s="146">
        <f>F95</f>
        <v>2568.2039999999997</v>
      </c>
      <c r="G100" s="147">
        <f t="shared" ref="G100:H100" si="188">AVERAGE(G95:G99)</f>
        <v>0.32400000000000001</v>
      </c>
      <c r="H100" s="147">
        <f t="shared" si="188"/>
        <v>0.123</v>
      </c>
      <c r="I100" s="146">
        <f>I95</f>
        <v>2568.2039999999997</v>
      </c>
      <c r="J100" s="147">
        <f t="shared" ref="J100:K100" si="189">AVERAGE(J95:J99)</f>
        <v>0.35859999999999997</v>
      </c>
      <c r="K100" s="147">
        <f t="shared" si="189"/>
        <v>0.12739999999999999</v>
      </c>
      <c r="L100" s="146">
        <f>L95</f>
        <v>2568.2039999999997</v>
      </c>
      <c r="M100" s="147">
        <f t="shared" ref="M100:N100" si="190">AVERAGE(M95:M99)</f>
        <v>0.37240000000000001</v>
      </c>
      <c r="N100" s="147">
        <f t="shared" si="190"/>
        <v>0.12820000000000001</v>
      </c>
      <c r="O100" s="146">
        <f t="shared" ref="O100" si="191">SUM(O95:O99)</f>
        <v>2568.2039999999997</v>
      </c>
      <c r="P100" s="147">
        <f t="shared" ref="P100:Q100" si="192">AVERAGE(P95:P99)</f>
        <v>0.37980000000000003</v>
      </c>
      <c r="Q100" s="147">
        <f t="shared" si="192"/>
        <v>0.13419999999999999</v>
      </c>
      <c r="R100" s="146">
        <f t="shared" ref="R100" si="193">SUM(R95:R99)</f>
        <v>0</v>
      </c>
      <c r="S100" s="147">
        <f t="shared" ref="S100:T100" si="194">AVERAGE(S95:S99)</f>
        <v>0</v>
      </c>
      <c r="T100" s="147">
        <f t="shared" si="194"/>
        <v>0</v>
      </c>
      <c r="U100" s="146">
        <f t="shared" ref="U100" si="195">SUM(U95:U99)</f>
        <v>0</v>
      </c>
      <c r="V100" s="147">
        <f t="shared" ref="V100:W100" si="196">AVERAGE(V95:V99)</f>
        <v>0</v>
      </c>
      <c r="W100" s="147">
        <f t="shared" si="196"/>
        <v>0</v>
      </c>
      <c r="X100" s="146">
        <f t="shared" ref="X100" si="197">SUM(X95:X99)</f>
        <v>0</v>
      </c>
      <c r="Y100" s="147">
        <f t="shared" ref="Y100:Z100" si="198">AVERAGE(Y95:Y99)</f>
        <v>0</v>
      </c>
      <c r="Z100" s="147">
        <f t="shared" si="198"/>
        <v>0</v>
      </c>
      <c r="AA100" s="146">
        <f t="shared" ref="AA100" si="199">SUM(AA95:AA99)</f>
        <v>0</v>
      </c>
      <c r="AB100" s="147">
        <f t="shared" ref="AB100:AC100" si="200">AVERAGE(AB95:AB99)</f>
        <v>0</v>
      </c>
      <c r="AC100" s="147">
        <f t="shared" si="200"/>
        <v>0</v>
      </c>
      <c r="AD100" s="146">
        <f t="shared" ref="AD100" si="201">SUM(AD95:AD99)</f>
        <v>0</v>
      </c>
      <c r="AE100" s="147">
        <f t="shared" ref="AE100:AF100" si="202">AVERAGE(AE95:AE99)</f>
        <v>0</v>
      </c>
      <c r="AF100" s="147">
        <f t="shared" si="202"/>
        <v>0</v>
      </c>
    </row>
    <row r="101" spans="1:32" x14ac:dyDescent="0.2">
      <c r="A101" s="148" t="s">
        <v>25</v>
      </c>
      <c r="B101" s="4"/>
      <c r="C101" s="144">
        <v>394.41999999999996</v>
      </c>
      <c r="D101" s="4">
        <v>0.29799999999999999</v>
      </c>
      <c r="E101" s="4">
        <v>0.10199999999999999</v>
      </c>
      <c r="F101" s="144">
        <v>394.41999999999996</v>
      </c>
      <c r="G101" s="4">
        <v>0.32200000000000001</v>
      </c>
      <c r="H101" s="4">
        <v>0.13700000000000001</v>
      </c>
      <c r="I101" s="144">
        <v>394.41999999999996</v>
      </c>
      <c r="J101" s="4">
        <v>0.313</v>
      </c>
      <c r="K101" s="4">
        <v>0.124</v>
      </c>
      <c r="L101" s="144">
        <v>394.41999999999996</v>
      </c>
      <c r="M101" s="4">
        <v>0.33900000000000002</v>
      </c>
      <c r="N101" s="4">
        <v>0.109</v>
      </c>
      <c r="O101" s="144">
        <v>394.41999999999996</v>
      </c>
      <c r="P101" s="4">
        <v>0.34300000000000003</v>
      </c>
      <c r="Q101" s="4">
        <v>0.107</v>
      </c>
      <c r="R101" s="4">
        <v>0</v>
      </c>
      <c r="S101" s="4">
        <v>0</v>
      </c>
      <c r="T101" s="4">
        <v>0</v>
      </c>
      <c r="U101" s="10">
        <v>0</v>
      </c>
      <c r="V101" s="4">
        <v>0</v>
      </c>
      <c r="W101" s="4">
        <v>0</v>
      </c>
      <c r="X101" s="10">
        <v>0</v>
      </c>
      <c r="Y101" s="4">
        <v>0</v>
      </c>
      <c r="Z101" s="4">
        <v>0</v>
      </c>
      <c r="AA101" s="10">
        <v>0</v>
      </c>
      <c r="AB101" s="4">
        <v>0</v>
      </c>
      <c r="AC101" s="4">
        <v>0</v>
      </c>
      <c r="AD101" s="10">
        <v>143.88999999999999</v>
      </c>
      <c r="AE101" s="4">
        <v>0.63200000000000001</v>
      </c>
      <c r="AF101" s="4">
        <v>0.219</v>
      </c>
    </row>
    <row r="102" spans="1:32" x14ac:dyDescent="0.2">
      <c r="A102" s="148"/>
      <c r="B102" s="144"/>
      <c r="C102" s="144"/>
      <c r="D102" s="4">
        <v>0.33800000000000002</v>
      </c>
      <c r="E102" s="4">
        <v>0.14099999999999999</v>
      </c>
      <c r="F102" s="10"/>
      <c r="G102" s="4">
        <v>0.34200000000000003</v>
      </c>
      <c r="H102" s="4">
        <v>0.14399999999999999</v>
      </c>
      <c r="I102" s="10"/>
      <c r="J102" s="4">
        <v>0.35099999999999998</v>
      </c>
      <c r="K102" s="4">
        <v>0.11700000000000001</v>
      </c>
      <c r="L102" s="10"/>
      <c r="M102" s="4">
        <v>0.32700000000000001</v>
      </c>
      <c r="N102" s="4">
        <v>0.104</v>
      </c>
      <c r="O102" s="10"/>
      <c r="P102" s="4">
        <v>0.32800000000000001</v>
      </c>
      <c r="Q102" s="4">
        <v>0.123</v>
      </c>
      <c r="R102" s="10"/>
      <c r="S102" s="4"/>
      <c r="T102" s="4"/>
      <c r="U102" s="10"/>
      <c r="V102" s="4"/>
      <c r="W102" s="4"/>
      <c r="X102" s="10"/>
      <c r="Y102" s="4"/>
      <c r="Z102" s="4"/>
      <c r="AA102" s="10"/>
      <c r="AB102" s="4"/>
      <c r="AC102" s="4"/>
      <c r="AD102" s="10"/>
      <c r="AE102" s="4">
        <v>0.621</v>
      </c>
      <c r="AF102" s="4">
        <v>0.22700000000000001</v>
      </c>
    </row>
    <row r="103" spans="1:32" x14ac:dyDescent="0.2">
      <c r="A103" s="148"/>
      <c r="B103" s="144"/>
      <c r="C103" s="144"/>
      <c r="D103" s="4">
        <v>0.33900000000000002</v>
      </c>
      <c r="E103" s="4">
        <v>0.109</v>
      </c>
      <c r="F103" s="10"/>
      <c r="G103" s="4">
        <v>0.34300000000000003</v>
      </c>
      <c r="H103" s="4">
        <v>0.107</v>
      </c>
      <c r="I103" s="10"/>
      <c r="J103" s="4">
        <v>0.51</v>
      </c>
      <c r="K103" s="4">
        <v>0.18099999999999999</v>
      </c>
      <c r="L103" s="10"/>
      <c r="M103" s="4">
        <v>0.59699999999999998</v>
      </c>
      <c r="N103" s="4">
        <v>0.20899999999999999</v>
      </c>
      <c r="O103" s="10"/>
      <c r="P103" s="4">
        <v>0.61499999999999999</v>
      </c>
      <c r="Q103" s="4">
        <v>0.217</v>
      </c>
      <c r="R103" s="10"/>
      <c r="S103" s="4"/>
      <c r="T103" s="4"/>
      <c r="U103" s="10"/>
      <c r="V103" s="4"/>
      <c r="W103" s="4"/>
      <c r="X103" s="10"/>
      <c r="Y103" s="4"/>
      <c r="Z103" s="4"/>
      <c r="AA103" s="10"/>
      <c r="AB103" s="4"/>
      <c r="AC103" s="4"/>
      <c r="AD103" s="10"/>
      <c r="AE103" s="117">
        <v>0.64480411092500001</v>
      </c>
      <c r="AF103" s="117">
        <v>0.22469588032500001</v>
      </c>
    </row>
    <row r="104" spans="1:32" x14ac:dyDescent="0.2">
      <c r="A104" s="148"/>
      <c r="B104" s="144"/>
      <c r="C104" s="144"/>
      <c r="D104" s="10">
        <v>0.27600000000000002</v>
      </c>
      <c r="E104" s="144">
        <v>0.11</v>
      </c>
      <c r="F104" s="10"/>
      <c r="G104" s="144">
        <v>0.27200000000000002</v>
      </c>
      <c r="H104" s="144">
        <v>0.114</v>
      </c>
      <c r="I104" s="10"/>
      <c r="J104" s="144">
        <v>0.27800000000000002</v>
      </c>
      <c r="K104" s="144">
        <v>0.112</v>
      </c>
      <c r="L104" s="10"/>
      <c r="M104" s="144">
        <v>0.27400000000000002</v>
      </c>
      <c r="N104" s="144">
        <v>0.113</v>
      </c>
      <c r="O104" s="10"/>
      <c r="P104" s="144">
        <v>0.27</v>
      </c>
      <c r="Q104" s="144">
        <v>0.11700000000000001</v>
      </c>
      <c r="R104" s="10"/>
      <c r="S104" s="144"/>
      <c r="T104" s="144"/>
      <c r="U104" s="10"/>
      <c r="V104" s="144"/>
      <c r="W104" s="144"/>
      <c r="X104" s="10"/>
      <c r="Y104" s="10"/>
      <c r="Z104" s="10"/>
      <c r="AA104" s="10"/>
      <c r="AB104" s="10"/>
      <c r="AC104" s="10"/>
      <c r="AD104" s="10"/>
      <c r="AE104" s="4">
        <v>0.65300000000000002</v>
      </c>
      <c r="AF104" s="4">
        <v>0.221</v>
      </c>
    </row>
    <row r="105" spans="1:32" x14ac:dyDescent="0.2">
      <c r="A105" s="145"/>
      <c r="B105" s="146" t="s">
        <v>488</v>
      </c>
      <c r="C105" s="146">
        <f>C101</f>
        <v>394.41999999999996</v>
      </c>
      <c r="D105" s="147">
        <f>AVERAGE(D101:D104)</f>
        <v>0.31275000000000003</v>
      </c>
      <c r="E105" s="147">
        <f>AVERAGE(E101:E104)</f>
        <v>0.11549999999999999</v>
      </c>
      <c r="F105" s="146">
        <f>F101</f>
        <v>394.41999999999996</v>
      </c>
      <c r="G105" s="147">
        <f t="shared" ref="G105:H105" si="203">AVERAGE(G101:G104)</f>
        <v>0.31975000000000003</v>
      </c>
      <c r="H105" s="147">
        <f t="shared" si="203"/>
        <v>0.1255</v>
      </c>
      <c r="I105" s="146">
        <f>I101</f>
        <v>394.41999999999996</v>
      </c>
      <c r="J105" s="147">
        <f t="shared" ref="J105:K105" si="204">AVERAGE(J101:J104)</f>
        <v>0.36299999999999999</v>
      </c>
      <c r="K105" s="147">
        <f t="shared" si="204"/>
        <v>0.13350000000000001</v>
      </c>
      <c r="L105" s="146">
        <f>L101</f>
        <v>394.41999999999996</v>
      </c>
      <c r="M105" s="147">
        <f t="shared" ref="M105:N105" si="205">AVERAGE(M101:M104)</f>
        <v>0.38424999999999998</v>
      </c>
      <c r="N105" s="147">
        <f t="shared" si="205"/>
        <v>0.13375000000000001</v>
      </c>
      <c r="O105" s="146">
        <f t="shared" ref="O105" si="206">SUM(O101:O104)</f>
        <v>394.41999999999996</v>
      </c>
      <c r="P105" s="147">
        <f t="shared" ref="P105:Q105" si="207">AVERAGE(P101:P104)</f>
        <v>0.38900000000000001</v>
      </c>
      <c r="Q105" s="147">
        <f t="shared" si="207"/>
        <v>0.14099999999999999</v>
      </c>
      <c r="R105" s="146">
        <f t="shared" ref="R105" si="208">SUM(R101:R104)</f>
        <v>0</v>
      </c>
      <c r="S105" s="147">
        <f t="shared" ref="S105:T105" si="209">AVERAGE(S101:S104)</f>
        <v>0</v>
      </c>
      <c r="T105" s="147">
        <f t="shared" si="209"/>
        <v>0</v>
      </c>
      <c r="U105" s="146">
        <f t="shared" ref="U105" si="210">SUM(U101:U104)</f>
        <v>0</v>
      </c>
      <c r="V105" s="147">
        <f t="shared" ref="V105:W105" si="211">AVERAGE(V101:V104)</f>
        <v>0</v>
      </c>
      <c r="W105" s="147">
        <f t="shared" si="211"/>
        <v>0</v>
      </c>
      <c r="X105" s="146">
        <f t="shared" ref="X105" si="212">SUM(X101:X104)</f>
        <v>0</v>
      </c>
      <c r="Y105" s="147">
        <f t="shared" ref="Y105:Z105" si="213">AVERAGE(Y101:Y104)</f>
        <v>0</v>
      </c>
      <c r="Z105" s="147">
        <f t="shared" si="213"/>
        <v>0</v>
      </c>
      <c r="AA105" s="146">
        <f t="shared" ref="AA105" si="214">SUM(AA101:AA104)</f>
        <v>0</v>
      </c>
      <c r="AB105" s="147">
        <f t="shared" ref="AB105:AC105" si="215">AVERAGE(AB101:AB104)</f>
        <v>0</v>
      </c>
      <c r="AC105" s="147">
        <f t="shared" si="215"/>
        <v>0</v>
      </c>
      <c r="AD105" s="146">
        <f t="shared" ref="AD105" si="216">SUM(AD101:AD104)</f>
        <v>143.88999999999999</v>
      </c>
      <c r="AE105" s="147">
        <f t="shared" ref="AE105:AF105" si="217">AVERAGE(AE101:AE104)</f>
        <v>0.63770102773125004</v>
      </c>
      <c r="AF105" s="147">
        <f t="shared" si="217"/>
        <v>0.22292397008125001</v>
      </c>
    </row>
    <row r="106" spans="1:32" x14ac:dyDescent="0.2">
      <c r="A106" s="150" t="s">
        <v>26</v>
      </c>
      <c r="B106" s="4"/>
      <c r="C106" s="144">
        <v>481</v>
      </c>
      <c r="D106" s="10">
        <v>0.27600000000000002</v>
      </c>
      <c r="E106" s="144">
        <v>0.11</v>
      </c>
      <c r="F106" s="144">
        <v>481</v>
      </c>
      <c r="G106" s="144">
        <v>0.27200000000000002</v>
      </c>
      <c r="H106" s="144">
        <v>0.114</v>
      </c>
      <c r="I106" s="144">
        <v>481</v>
      </c>
      <c r="J106" s="144">
        <v>0.27800000000000002</v>
      </c>
      <c r="K106" s="144">
        <v>0.112</v>
      </c>
      <c r="L106" s="144">
        <v>481</v>
      </c>
      <c r="M106" s="144">
        <v>0.27400000000000002</v>
      </c>
      <c r="N106" s="144">
        <v>0.113</v>
      </c>
      <c r="O106" s="144">
        <v>481</v>
      </c>
      <c r="P106" s="144">
        <v>0.27</v>
      </c>
      <c r="Q106" s="144">
        <v>0.11700000000000001</v>
      </c>
      <c r="R106" s="144">
        <v>481</v>
      </c>
      <c r="S106" s="144">
        <v>0.48699999999999999</v>
      </c>
      <c r="T106" s="144">
        <v>0.16300000000000001</v>
      </c>
      <c r="U106" s="144">
        <v>481</v>
      </c>
      <c r="V106" s="144">
        <v>0.48199999999999998</v>
      </c>
      <c r="W106" s="144">
        <v>0.17299999999999999</v>
      </c>
      <c r="X106" s="144">
        <v>481</v>
      </c>
      <c r="Y106" s="144">
        <v>0.48899999999999999</v>
      </c>
      <c r="Z106" s="144">
        <v>0.17100000000000001</v>
      </c>
      <c r="AA106" s="144">
        <v>0</v>
      </c>
      <c r="AB106" s="144">
        <v>0</v>
      </c>
      <c r="AC106" s="144">
        <v>0</v>
      </c>
      <c r="AD106" s="144">
        <v>481</v>
      </c>
      <c r="AE106" s="144">
        <v>0.497</v>
      </c>
      <c r="AF106" s="144">
        <v>0.189</v>
      </c>
    </row>
    <row r="107" spans="1:32" x14ac:dyDescent="0.2">
      <c r="A107" s="71"/>
      <c r="B107" s="144"/>
      <c r="C107" s="144"/>
      <c r="D107" s="4">
        <v>0.34899999999999998</v>
      </c>
      <c r="E107" s="4">
        <v>0.13700000000000001</v>
      </c>
      <c r="F107" s="10"/>
      <c r="G107" s="4">
        <v>0.35699999999999998</v>
      </c>
      <c r="H107" s="4">
        <v>0.123</v>
      </c>
      <c r="I107" s="10"/>
      <c r="J107" s="4">
        <v>0.34100000000000003</v>
      </c>
      <c r="K107" s="4">
        <v>0.10299999999999999</v>
      </c>
      <c r="L107" s="10"/>
      <c r="M107" s="4">
        <v>0.32500000000000001</v>
      </c>
      <c r="N107" s="4">
        <v>0.106</v>
      </c>
      <c r="O107" s="10"/>
      <c r="P107" s="4">
        <v>0.33900000000000002</v>
      </c>
      <c r="Q107" s="4">
        <v>0.112</v>
      </c>
      <c r="R107" s="10"/>
      <c r="S107" s="4">
        <v>0.51600000000000001</v>
      </c>
      <c r="T107" s="4">
        <v>0.20300000000000001</v>
      </c>
      <c r="U107" s="10"/>
      <c r="V107" s="4">
        <v>0.58099999999999996</v>
      </c>
      <c r="W107" s="4">
        <v>0.20399999999999999</v>
      </c>
      <c r="X107" s="10"/>
      <c r="Y107" s="4">
        <v>0.60399999999999998</v>
      </c>
      <c r="Z107" s="4">
        <v>0.21</v>
      </c>
      <c r="AA107" s="10"/>
      <c r="AB107" s="4"/>
      <c r="AC107" s="4"/>
      <c r="AD107" s="10"/>
      <c r="AE107" s="4">
        <v>0.64300000000000002</v>
      </c>
      <c r="AF107" s="4">
        <v>0.22700000000000001</v>
      </c>
    </row>
    <row r="108" spans="1:32" x14ac:dyDescent="0.2">
      <c r="A108" s="71"/>
      <c r="B108" s="144"/>
      <c r="C108" s="144"/>
      <c r="D108" s="4">
        <v>0.34799999999999998</v>
      </c>
      <c r="E108" s="4">
        <v>0.121</v>
      </c>
      <c r="F108" s="10"/>
      <c r="G108" s="4">
        <v>0.34100000000000003</v>
      </c>
      <c r="H108" s="4">
        <v>0.113</v>
      </c>
      <c r="I108" s="10"/>
      <c r="J108" s="4">
        <v>0.32200000000000001</v>
      </c>
      <c r="K108" s="4">
        <v>0.107</v>
      </c>
      <c r="L108" s="10"/>
      <c r="M108" s="4">
        <v>0.318</v>
      </c>
      <c r="N108" s="4">
        <v>0.11700000000000001</v>
      </c>
      <c r="O108" s="10"/>
      <c r="P108" s="4">
        <v>0.33100000000000002</v>
      </c>
      <c r="Q108" s="4">
        <v>0.125</v>
      </c>
      <c r="R108" s="10"/>
      <c r="S108" s="4">
        <v>0.50900000000000001</v>
      </c>
      <c r="T108" s="4">
        <v>0.186</v>
      </c>
      <c r="U108" s="10"/>
      <c r="V108" s="4">
        <v>0.54300000000000004</v>
      </c>
      <c r="W108" s="4">
        <v>0.20100000000000001</v>
      </c>
      <c r="X108" s="10"/>
      <c r="Y108" s="4">
        <v>0.60699999999999998</v>
      </c>
      <c r="Z108" s="4">
        <v>0.21299999999999999</v>
      </c>
      <c r="AA108" s="10"/>
      <c r="AB108" s="4"/>
      <c r="AC108" s="4"/>
      <c r="AD108" s="10"/>
      <c r="AE108" s="4">
        <v>0.65300000000000002</v>
      </c>
      <c r="AF108" s="4">
        <v>0.221</v>
      </c>
    </row>
    <row r="109" spans="1:32" x14ac:dyDescent="0.2">
      <c r="A109" s="71"/>
      <c r="B109" s="144"/>
      <c r="C109" s="144"/>
      <c r="D109" s="4">
        <v>0.29799999999999999</v>
      </c>
      <c r="E109" s="4">
        <v>0.10199999999999999</v>
      </c>
      <c r="F109" s="10"/>
      <c r="G109" s="4">
        <v>0.32200000000000001</v>
      </c>
      <c r="H109" s="4">
        <v>0.13700000000000001</v>
      </c>
      <c r="I109" s="10"/>
      <c r="J109" s="4">
        <v>0.313</v>
      </c>
      <c r="K109" s="4">
        <v>0.124</v>
      </c>
      <c r="L109" s="10"/>
      <c r="M109" s="4">
        <v>0.33900000000000002</v>
      </c>
      <c r="N109" s="4">
        <v>0.109</v>
      </c>
      <c r="O109" s="10"/>
      <c r="P109" s="4">
        <v>0.34300000000000003</v>
      </c>
      <c r="Q109" s="4">
        <v>0.107</v>
      </c>
      <c r="R109" s="10"/>
      <c r="S109" s="4">
        <v>0.51</v>
      </c>
      <c r="T109" s="4">
        <v>0.18099999999999999</v>
      </c>
      <c r="U109" s="10"/>
      <c r="V109" s="4">
        <v>0.59699999999999998</v>
      </c>
      <c r="W109" s="4">
        <v>0.20899999999999999</v>
      </c>
      <c r="X109" s="10"/>
      <c r="Y109" s="4">
        <v>0.61499999999999999</v>
      </c>
      <c r="Z109" s="4">
        <v>0.217</v>
      </c>
      <c r="AA109" s="10"/>
      <c r="AB109" s="4"/>
      <c r="AC109" s="4"/>
      <c r="AD109" s="10"/>
      <c r="AE109" s="4">
        <v>0.63200000000000001</v>
      </c>
      <c r="AF109" s="4">
        <v>0.219</v>
      </c>
    </row>
    <row r="110" spans="1:32" x14ac:dyDescent="0.2">
      <c r="A110" s="71"/>
      <c r="B110" s="144"/>
      <c r="C110" s="144"/>
      <c r="D110" s="4">
        <v>0.34799999999999998</v>
      </c>
      <c r="E110" s="4">
        <v>0.121</v>
      </c>
      <c r="F110" s="10"/>
      <c r="G110" s="4">
        <v>0.34100000000000003</v>
      </c>
      <c r="H110" s="4">
        <v>0.113</v>
      </c>
      <c r="I110" s="10"/>
      <c r="J110" s="4">
        <v>0.34100000000000003</v>
      </c>
      <c r="K110" s="4">
        <v>0.10299999999999999</v>
      </c>
      <c r="L110" s="10"/>
      <c r="M110" s="4">
        <v>0.32500000000000001</v>
      </c>
      <c r="N110" s="4">
        <v>0.106</v>
      </c>
      <c r="O110" s="10"/>
      <c r="P110" s="4">
        <v>0.34300000000000003</v>
      </c>
      <c r="Q110" s="4">
        <v>0.107</v>
      </c>
      <c r="R110" s="10"/>
      <c r="S110" s="4">
        <v>0.50900000000000001</v>
      </c>
      <c r="T110" s="4">
        <v>0.186</v>
      </c>
      <c r="U110" s="10"/>
      <c r="V110" s="4">
        <v>0.54300000000000004</v>
      </c>
      <c r="W110" s="4">
        <v>0.20100000000000001</v>
      </c>
      <c r="X110" s="10"/>
      <c r="Y110" s="4">
        <v>0.60699999999999998</v>
      </c>
      <c r="Z110" s="4">
        <v>0.21299999999999999</v>
      </c>
      <c r="AA110" s="10"/>
      <c r="AB110" s="4"/>
      <c r="AC110" s="4"/>
      <c r="AD110" s="10"/>
      <c r="AE110" s="4">
        <v>0.63200000000000001</v>
      </c>
      <c r="AF110" s="4">
        <v>0.219</v>
      </c>
    </row>
    <row r="111" spans="1:32" x14ac:dyDescent="0.2">
      <c r="A111" s="71"/>
      <c r="B111" s="144"/>
      <c r="C111" s="144"/>
      <c r="D111" s="4">
        <v>0.33800000000000002</v>
      </c>
      <c r="E111" s="4">
        <v>0.14099999999999999</v>
      </c>
      <c r="F111" s="10"/>
      <c r="G111" s="4">
        <v>0.35199999999999998</v>
      </c>
      <c r="H111" s="4">
        <v>0.14299999999999999</v>
      </c>
      <c r="I111" s="10"/>
      <c r="J111" s="4">
        <v>0.313</v>
      </c>
      <c r="K111" s="4">
        <v>0.124</v>
      </c>
      <c r="L111" s="10"/>
      <c r="M111" s="4">
        <v>0.32700000000000001</v>
      </c>
      <c r="N111" s="4">
        <v>0.104</v>
      </c>
      <c r="O111" s="10"/>
      <c r="P111" s="4">
        <v>0.33700000000000002</v>
      </c>
      <c r="Q111" s="4">
        <v>0.11899999999999999</v>
      </c>
      <c r="R111" s="10"/>
      <c r="S111" s="4">
        <v>0.51600000000000001</v>
      </c>
      <c r="T111" s="4">
        <v>0.20300000000000001</v>
      </c>
      <c r="U111" s="10"/>
      <c r="V111" s="4">
        <v>0.59699999999999998</v>
      </c>
      <c r="W111" s="4">
        <v>0.20899999999999999</v>
      </c>
      <c r="X111" s="10"/>
      <c r="Y111" s="4">
        <v>0.61499999999999999</v>
      </c>
      <c r="Z111" s="4">
        <v>0.217</v>
      </c>
      <c r="AA111" s="10"/>
      <c r="AB111" s="4"/>
      <c r="AC111" s="4"/>
      <c r="AD111" s="10"/>
      <c r="AE111" s="117">
        <v>0.64480411092500001</v>
      </c>
      <c r="AF111" s="117">
        <v>0.22469588032500001</v>
      </c>
    </row>
    <row r="112" spans="1:32" x14ac:dyDescent="0.2">
      <c r="A112" s="71"/>
      <c r="B112" s="144"/>
      <c r="C112" s="144"/>
      <c r="D112" s="4">
        <v>0.34899999999999998</v>
      </c>
      <c r="E112" s="4">
        <v>0.13700000000000001</v>
      </c>
      <c r="F112" s="10"/>
      <c r="G112" s="4">
        <v>0.35699999999999998</v>
      </c>
      <c r="H112" s="4">
        <v>0.123</v>
      </c>
      <c r="I112" s="10"/>
      <c r="J112" s="4">
        <v>0.34100000000000003</v>
      </c>
      <c r="K112" s="4">
        <v>0.10299999999999999</v>
      </c>
      <c r="L112" s="10"/>
      <c r="M112" s="4">
        <v>0.32500000000000001</v>
      </c>
      <c r="N112" s="4">
        <v>0.106</v>
      </c>
      <c r="O112" s="10"/>
      <c r="P112" s="4">
        <v>0.33900000000000002</v>
      </c>
      <c r="Q112" s="4">
        <v>0.112</v>
      </c>
      <c r="R112" s="10"/>
      <c r="S112" s="4">
        <v>0.51600000000000001</v>
      </c>
      <c r="T112" s="4">
        <v>0.20300000000000001</v>
      </c>
      <c r="U112" s="10"/>
      <c r="V112" s="4">
        <v>0.58099999999999996</v>
      </c>
      <c r="W112" s="4">
        <v>0.20399999999999999</v>
      </c>
      <c r="X112" s="10"/>
      <c r="Y112" s="4">
        <v>0.60399999999999998</v>
      </c>
      <c r="Z112" s="4">
        <v>0.21</v>
      </c>
      <c r="AA112" s="10"/>
      <c r="AB112" s="4"/>
      <c r="AC112" s="4"/>
      <c r="AD112" s="10"/>
      <c r="AE112" s="4">
        <v>0.64300000000000002</v>
      </c>
      <c r="AF112" s="4">
        <v>0.22700000000000001</v>
      </c>
    </row>
    <row r="113" spans="1:32" x14ac:dyDescent="0.2">
      <c r="A113" s="71"/>
      <c r="B113" s="144"/>
      <c r="C113" s="144"/>
      <c r="D113" s="4">
        <v>0.34799999999999998</v>
      </c>
      <c r="E113" s="4">
        <v>0.121</v>
      </c>
      <c r="F113" s="10"/>
      <c r="G113" s="4">
        <v>0.34100000000000003</v>
      </c>
      <c r="H113" s="4">
        <v>0.113</v>
      </c>
      <c r="I113" s="10"/>
      <c r="J113" s="4">
        <v>0.32200000000000001</v>
      </c>
      <c r="K113" s="4">
        <v>0.107</v>
      </c>
      <c r="L113" s="10"/>
      <c r="M113" s="4">
        <v>0.318</v>
      </c>
      <c r="N113" s="4">
        <v>0.11700000000000001</v>
      </c>
      <c r="O113" s="10"/>
      <c r="P113" s="4">
        <v>0.33100000000000002</v>
      </c>
      <c r="Q113" s="4">
        <v>0.125</v>
      </c>
      <c r="R113" s="10"/>
      <c r="S113" s="4">
        <v>0.50900000000000001</v>
      </c>
      <c r="T113" s="4">
        <v>0.186</v>
      </c>
      <c r="U113" s="10"/>
      <c r="V113" s="4">
        <v>0.54300000000000004</v>
      </c>
      <c r="W113" s="4">
        <v>0.20100000000000001</v>
      </c>
      <c r="X113" s="10"/>
      <c r="Y113" s="4">
        <v>0.60699999999999998</v>
      </c>
      <c r="Z113" s="4">
        <v>0.21299999999999999</v>
      </c>
      <c r="AA113" s="10"/>
      <c r="AB113" s="4"/>
      <c r="AC113" s="4"/>
      <c r="AD113" s="10"/>
      <c r="AE113" s="4">
        <v>0.65300000000000002</v>
      </c>
      <c r="AF113" s="4">
        <v>0.221</v>
      </c>
    </row>
    <row r="114" spans="1:32" x14ac:dyDescent="0.2">
      <c r="A114" s="71"/>
      <c r="B114" s="144"/>
      <c r="C114" s="144"/>
      <c r="D114" s="4">
        <v>0.29799999999999999</v>
      </c>
      <c r="E114" s="4">
        <v>0.10199999999999999</v>
      </c>
      <c r="F114" s="10"/>
      <c r="G114" s="4">
        <v>0.32200000000000001</v>
      </c>
      <c r="H114" s="4">
        <v>0.13700000000000001</v>
      </c>
      <c r="I114" s="10"/>
      <c r="J114" s="4">
        <v>0.313</v>
      </c>
      <c r="K114" s="4">
        <v>0.124</v>
      </c>
      <c r="L114" s="10"/>
      <c r="M114" s="4">
        <v>0.33900000000000002</v>
      </c>
      <c r="N114" s="4">
        <v>0.109</v>
      </c>
      <c r="O114" s="10"/>
      <c r="P114" s="4">
        <v>0.34300000000000003</v>
      </c>
      <c r="Q114" s="4">
        <v>0.107</v>
      </c>
      <c r="R114" s="10"/>
      <c r="S114" s="4">
        <v>0.51</v>
      </c>
      <c r="T114" s="4">
        <v>0.18099999999999999</v>
      </c>
      <c r="U114" s="10"/>
      <c r="V114" s="4">
        <v>0.59699999999999998</v>
      </c>
      <c r="W114" s="4">
        <v>0.20899999999999999</v>
      </c>
      <c r="X114" s="10"/>
      <c r="Y114" s="4">
        <v>0.61499999999999999</v>
      </c>
      <c r="Z114" s="4">
        <v>0.217</v>
      </c>
      <c r="AA114" s="10"/>
      <c r="AB114" s="4"/>
      <c r="AC114" s="4"/>
      <c r="AD114" s="10"/>
      <c r="AE114" s="4">
        <v>0.63200000000000001</v>
      </c>
      <c r="AF114" s="4">
        <v>0.219</v>
      </c>
    </row>
    <row r="115" spans="1:32" x14ac:dyDescent="0.2">
      <c r="A115" s="145"/>
      <c r="B115" s="146" t="s">
        <v>489</v>
      </c>
      <c r="C115" s="146">
        <f>C106</f>
        <v>481</v>
      </c>
      <c r="D115" s="147">
        <f>AVERAGE(D106:D114)</f>
        <v>0.32800000000000001</v>
      </c>
      <c r="E115" s="147">
        <f>AVERAGE(E106:E114)</f>
        <v>0.12133333333333335</v>
      </c>
      <c r="F115" s="146">
        <f>F106</f>
        <v>481</v>
      </c>
      <c r="G115" s="147">
        <f>AVERAGE(G106:G114)</f>
        <v>0.3338888888888889</v>
      </c>
      <c r="H115" s="147">
        <f>AVERAGE(H106:H114)</f>
        <v>0.12400000000000001</v>
      </c>
      <c r="I115" s="146">
        <f>I106</f>
        <v>481</v>
      </c>
      <c r="J115" s="147">
        <f>AVERAGE(J106:J114)</f>
        <v>0.32044444444444448</v>
      </c>
      <c r="K115" s="147">
        <f>AVERAGE(K106:K114)</f>
        <v>0.1118888888888889</v>
      </c>
      <c r="L115" s="146">
        <f>L106</f>
        <v>481</v>
      </c>
      <c r="M115" s="147">
        <f>AVERAGE(M106:M114)</f>
        <v>0.32111111111111112</v>
      </c>
      <c r="N115" s="147">
        <f>AVERAGE(N106:N114)</f>
        <v>0.10966666666666666</v>
      </c>
      <c r="O115" s="146">
        <f>SUM(O106:O114)</f>
        <v>481</v>
      </c>
      <c r="P115" s="147">
        <f>AVERAGE(P106:P114)</f>
        <v>0.33066666666666666</v>
      </c>
      <c r="Q115" s="147">
        <f>AVERAGE(Q106:Q114)</f>
        <v>0.11455555555555555</v>
      </c>
      <c r="R115" s="146">
        <f>SUM(R106:R114)</f>
        <v>481</v>
      </c>
      <c r="S115" s="147">
        <f>AVERAGE(S106:S114)</f>
        <v>0.50911111111111107</v>
      </c>
      <c r="T115" s="147">
        <f>AVERAGE(T106:T114)</f>
        <v>0.18800000000000003</v>
      </c>
      <c r="U115" s="146">
        <f>SUM(U106:U114)</f>
        <v>481</v>
      </c>
      <c r="V115" s="147">
        <f>AVERAGE(V106:V114)</f>
        <v>0.56266666666666665</v>
      </c>
      <c r="W115" s="147">
        <f>AVERAGE(W106:W114)</f>
        <v>0.20122222222222225</v>
      </c>
      <c r="X115" s="146">
        <f>SUM(X106:X114)</f>
        <v>481</v>
      </c>
      <c r="Y115" s="147">
        <f>AVERAGE(Y106:Y114)</f>
        <v>0.59588888888888891</v>
      </c>
      <c r="Z115" s="147">
        <f>AVERAGE(Z106:Z114)</f>
        <v>0.20900000000000002</v>
      </c>
      <c r="AA115" s="146">
        <f>SUM(AA106:AA114)</f>
        <v>0</v>
      </c>
      <c r="AB115" s="147">
        <f>AVERAGE(AB106:AB114)</f>
        <v>0</v>
      </c>
      <c r="AC115" s="147">
        <f>AVERAGE(AC106:AC114)</f>
        <v>0</v>
      </c>
      <c r="AD115" s="146">
        <f>SUM(AD106:AD114)</f>
        <v>481</v>
      </c>
      <c r="AE115" s="147">
        <f>AVERAGE(AE106:AE114)</f>
        <v>0.62553379010277788</v>
      </c>
      <c r="AF115" s="147">
        <f>AVERAGE(AF106:AF114)</f>
        <v>0.2185217644805556</v>
      </c>
    </row>
    <row r="116" spans="1:32" x14ac:dyDescent="0.2">
      <c r="A116" s="71" t="s">
        <v>27</v>
      </c>
      <c r="B116" s="4"/>
      <c r="C116" s="144">
        <v>1833.66</v>
      </c>
      <c r="D116" s="10">
        <v>0.40100000000000002</v>
      </c>
      <c r="E116" s="144">
        <v>0.153</v>
      </c>
      <c r="F116" s="10">
        <v>1833.66</v>
      </c>
      <c r="G116" s="4">
        <v>0.32200000000000001</v>
      </c>
      <c r="H116" s="4">
        <v>0.13700000000000001</v>
      </c>
      <c r="I116" s="10">
        <v>1833.66</v>
      </c>
      <c r="J116" s="4">
        <v>0.313</v>
      </c>
      <c r="K116" s="4">
        <v>0.124</v>
      </c>
      <c r="L116" s="10">
        <v>1833.66</v>
      </c>
      <c r="M116" s="4">
        <v>0.33900000000000002</v>
      </c>
      <c r="N116" s="4">
        <v>0.109</v>
      </c>
      <c r="O116" s="10">
        <v>1833.66</v>
      </c>
      <c r="P116" s="4">
        <v>0.34300000000000003</v>
      </c>
      <c r="Q116" s="4">
        <v>0.107</v>
      </c>
      <c r="R116" s="10">
        <v>1833.66</v>
      </c>
      <c r="S116" s="4">
        <v>0.51</v>
      </c>
      <c r="T116" s="4">
        <v>0.18099999999999999</v>
      </c>
      <c r="U116" s="10">
        <v>1833.66</v>
      </c>
      <c r="V116" s="4">
        <v>0.59699999999999998</v>
      </c>
      <c r="W116" s="4">
        <v>0.20899999999999999</v>
      </c>
      <c r="X116" s="10">
        <v>1833.66</v>
      </c>
      <c r="Y116" s="4">
        <v>0.61499999999999999</v>
      </c>
      <c r="Z116" s="4">
        <v>0.217</v>
      </c>
      <c r="AA116" s="4">
        <v>0</v>
      </c>
      <c r="AB116" s="4">
        <v>0</v>
      </c>
      <c r="AC116" s="4">
        <v>0</v>
      </c>
      <c r="AD116" s="10">
        <v>0</v>
      </c>
      <c r="AE116" s="4">
        <v>0</v>
      </c>
      <c r="AF116" s="4">
        <v>0</v>
      </c>
    </row>
    <row r="117" spans="1:32" x14ac:dyDescent="0.2">
      <c r="A117" s="71"/>
      <c r="B117" s="144"/>
      <c r="C117" s="144"/>
      <c r="D117" s="4">
        <v>0.34799999999999998</v>
      </c>
      <c r="E117" s="4">
        <v>0.121</v>
      </c>
      <c r="F117" s="10"/>
      <c r="G117" s="4">
        <v>0.34100000000000003</v>
      </c>
      <c r="H117" s="4">
        <v>0.113</v>
      </c>
      <c r="I117" s="10"/>
      <c r="J117" s="4">
        <v>0.34100000000000003</v>
      </c>
      <c r="K117" s="4">
        <v>0.10299999999999999</v>
      </c>
      <c r="L117" s="10"/>
      <c r="M117" s="4">
        <v>0.32500000000000001</v>
      </c>
      <c r="N117" s="4">
        <v>0.106</v>
      </c>
      <c r="O117" s="10"/>
      <c r="P117" s="4">
        <v>0.34300000000000003</v>
      </c>
      <c r="Q117" s="4">
        <v>0.107</v>
      </c>
      <c r="R117" s="10"/>
      <c r="S117" s="4">
        <v>0.50900000000000001</v>
      </c>
      <c r="T117" s="4">
        <v>0.186</v>
      </c>
      <c r="U117" s="10"/>
      <c r="V117" s="4">
        <v>0.54300000000000004</v>
      </c>
      <c r="W117" s="4">
        <v>0.20100000000000001</v>
      </c>
      <c r="X117" s="10"/>
      <c r="Y117" s="4">
        <v>0.60699999999999998</v>
      </c>
      <c r="Z117" s="4">
        <v>0.21299999999999999</v>
      </c>
      <c r="AA117" s="10"/>
      <c r="AB117" s="10"/>
      <c r="AC117" s="10"/>
      <c r="AD117" s="10"/>
      <c r="AE117" s="10"/>
      <c r="AF117" s="10"/>
    </row>
    <row r="118" spans="1:32" x14ac:dyDescent="0.2">
      <c r="A118" s="71"/>
      <c r="B118" s="144"/>
      <c r="C118" s="144"/>
      <c r="D118" s="4">
        <v>0.29799999999999999</v>
      </c>
      <c r="E118" s="4">
        <v>0.10199999999999999</v>
      </c>
      <c r="F118" s="10"/>
      <c r="G118" s="4">
        <v>0.35199999999999998</v>
      </c>
      <c r="H118" s="4">
        <v>0.14299999999999999</v>
      </c>
      <c r="I118" s="10"/>
      <c r="J118" s="4">
        <v>0.313</v>
      </c>
      <c r="K118" s="4">
        <v>0.124</v>
      </c>
      <c r="L118" s="10"/>
      <c r="M118" s="4">
        <v>0.32700000000000001</v>
      </c>
      <c r="N118" s="4">
        <v>0.104</v>
      </c>
      <c r="O118" s="10"/>
      <c r="P118" s="4">
        <v>0.33700000000000002</v>
      </c>
      <c r="Q118" s="4">
        <v>0.11899999999999999</v>
      </c>
      <c r="R118" s="10"/>
      <c r="S118" s="4">
        <v>0.51600000000000001</v>
      </c>
      <c r="T118" s="4">
        <v>0.20300000000000001</v>
      </c>
      <c r="U118" s="10"/>
      <c r="V118" s="4">
        <v>0.59699999999999998</v>
      </c>
      <c r="W118" s="4">
        <v>0.20899999999999999</v>
      </c>
      <c r="X118" s="10"/>
      <c r="Y118" s="4">
        <v>0.61499999999999999</v>
      </c>
      <c r="Z118" s="4">
        <v>0.217</v>
      </c>
      <c r="AA118" s="10"/>
      <c r="AB118" s="10"/>
      <c r="AC118" s="10"/>
      <c r="AD118" s="10"/>
      <c r="AE118" s="10"/>
      <c r="AF118" s="10"/>
    </row>
    <row r="119" spans="1:32" x14ac:dyDescent="0.2">
      <c r="A119" s="71"/>
      <c r="B119" s="144"/>
      <c r="C119" s="144"/>
      <c r="D119" s="4">
        <v>0.34799999999999998</v>
      </c>
      <c r="E119" s="4">
        <v>0.121</v>
      </c>
      <c r="F119" s="10"/>
      <c r="G119" s="4">
        <v>0.35699999999999998</v>
      </c>
      <c r="H119" s="4">
        <v>0.123</v>
      </c>
      <c r="I119" s="10"/>
      <c r="J119" s="4">
        <v>0.34100000000000003</v>
      </c>
      <c r="K119" s="4">
        <v>0.10299999999999999</v>
      </c>
      <c r="L119" s="10"/>
      <c r="M119" s="4">
        <v>0.32500000000000001</v>
      </c>
      <c r="N119" s="4">
        <v>0.106</v>
      </c>
      <c r="O119" s="10"/>
      <c r="P119" s="4">
        <v>0.33900000000000002</v>
      </c>
      <c r="Q119" s="4">
        <v>0.112</v>
      </c>
      <c r="R119" s="10"/>
      <c r="S119" s="4">
        <v>0.51600000000000001</v>
      </c>
      <c r="T119" s="4">
        <v>0.20300000000000001</v>
      </c>
      <c r="U119" s="10"/>
      <c r="V119" s="4">
        <v>0.58099999999999996</v>
      </c>
      <c r="W119" s="4">
        <v>0.20399999999999999</v>
      </c>
      <c r="X119" s="10"/>
      <c r="Y119" s="4">
        <v>0.60399999999999998</v>
      </c>
      <c r="Z119" s="4">
        <v>0.21</v>
      </c>
      <c r="AA119" s="10"/>
      <c r="AB119" s="10"/>
      <c r="AC119" s="10"/>
      <c r="AD119" s="10"/>
      <c r="AE119" s="10"/>
      <c r="AF119" s="10"/>
    </row>
    <row r="120" spans="1:32" x14ac:dyDescent="0.2">
      <c r="A120" s="71"/>
      <c r="B120" s="144"/>
      <c r="C120" s="144"/>
      <c r="D120" s="4">
        <v>0.33800000000000002</v>
      </c>
      <c r="E120" s="4">
        <v>0.14099999999999999</v>
      </c>
      <c r="F120" s="10"/>
      <c r="G120" s="4">
        <v>0.34100000000000003</v>
      </c>
      <c r="H120" s="4">
        <v>0.113</v>
      </c>
      <c r="I120" s="10"/>
      <c r="J120" s="4">
        <v>0.32200000000000001</v>
      </c>
      <c r="K120" s="4">
        <v>0.107</v>
      </c>
      <c r="L120" s="10"/>
      <c r="M120" s="4">
        <v>0.318</v>
      </c>
      <c r="N120" s="4">
        <v>0.11700000000000001</v>
      </c>
      <c r="O120" s="10"/>
      <c r="P120" s="4">
        <v>0.33100000000000002</v>
      </c>
      <c r="Q120" s="4">
        <v>0.125</v>
      </c>
      <c r="R120" s="10"/>
      <c r="S120" s="4">
        <v>0.50900000000000001</v>
      </c>
      <c r="T120" s="4">
        <v>0.186</v>
      </c>
      <c r="U120" s="10"/>
      <c r="V120" s="4">
        <v>0.54300000000000004</v>
      </c>
      <c r="W120" s="4">
        <v>0.20100000000000001</v>
      </c>
      <c r="X120" s="10"/>
      <c r="Y120" s="4">
        <v>0.60699999999999998</v>
      </c>
      <c r="Z120" s="4">
        <v>0.21299999999999999</v>
      </c>
      <c r="AA120" s="10"/>
      <c r="AB120" s="10"/>
      <c r="AC120" s="10"/>
      <c r="AD120" s="10"/>
      <c r="AE120" s="10"/>
      <c r="AF120" s="10"/>
    </row>
    <row r="121" spans="1:32" x14ac:dyDescent="0.2">
      <c r="A121" s="145"/>
      <c r="B121" s="146" t="s">
        <v>490</v>
      </c>
      <c r="C121" s="146">
        <f>C116</f>
        <v>1833.66</v>
      </c>
      <c r="D121" s="147">
        <f>AVERAGE(D116:D120)</f>
        <v>0.34660000000000002</v>
      </c>
      <c r="E121" s="147">
        <f>AVERAGE(E116:E120)</f>
        <v>0.12759999999999999</v>
      </c>
      <c r="F121" s="146">
        <f>F116</f>
        <v>1833.66</v>
      </c>
      <c r="G121" s="147">
        <f t="shared" ref="G121:H121" si="218">AVERAGE(G116:G120)</f>
        <v>0.34260000000000002</v>
      </c>
      <c r="H121" s="147">
        <f t="shared" si="218"/>
        <v>0.1258</v>
      </c>
      <c r="I121" s="146">
        <f>I116</f>
        <v>1833.66</v>
      </c>
      <c r="J121" s="147">
        <f t="shared" ref="J121:K121" si="219">AVERAGE(J116:J120)</f>
        <v>0.32600000000000001</v>
      </c>
      <c r="K121" s="147">
        <f t="shared" si="219"/>
        <v>0.11219999999999999</v>
      </c>
      <c r="L121" s="146">
        <f>L116</f>
        <v>1833.66</v>
      </c>
      <c r="M121" s="147">
        <f t="shared" ref="M121:N121" si="220">AVERAGE(M116:M120)</f>
        <v>0.32680000000000003</v>
      </c>
      <c r="N121" s="147">
        <f t="shared" si="220"/>
        <v>0.10840000000000001</v>
      </c>
      <c r="O121" s="146">
        <f t="shared" ref="O121" si="221">SUM(O116:O120)</f>
        <v>1833.66</v>
      </c>
      <c r="P121" s="147">
        <f t="shared" ref="P121:Q121" si="222">AVERAGE(P116:P120)</f>
        <v>0.33860000000000001</v>
      </c>
      <c r="Q121" s="147">
        <f t="shared" si="222"/>
        <v>0.11399999999999999</v>
      </c>
      <c r="R121" s="146">
        <f t="shared" ref="R121" si="223">SUM(R116:R120)</f>
        <v>1833.66</v>
      </c>
      <c r="S121" s="147">
        <f t="shared" ref="S121:T121" si="224">AVERAGE(S116:S120)</f>
        <v>0.51200000000000001</v>
      </c>
      <c r="T121" s="147">
        <f t="shared" si="224"/>
        <v>0.19180000000000003</v>
      </c>
      <c r="U121" s="146">
        <f t="shared" ref="U121" si="225">SUM(U116:U120)</f>
        <v>1833.66</v>
      </c>
      <c r="V121" s="147">
        <f t="shared" ref="V121:W121" si="226">AVERAGE(V116:V120)</f>
        <v>0.57220000000000004</v>
      </c>
      <c r="W121" s="147">
        <f t="shared" si="226"/>
        <v>0.20480000000000001</v>
      </c>
      <c r="X121" s="146">
        <f t="shared" ref="X121" si="227">SUM(X116:X120)</f>
        <v>1833.66</v>
      </c>
      <c r="Y121" s="147">
        <f t="shared" ref="Y121:Z121" si="228">AVERAGE(Y116:Y120)</f>
        <v>0.60960000000000003</v>
      </c>
      <c r="Z121" s="147">
        <f t="shared" si="228"/>
        <v>0.21400000000000002</v>
      </c>
      <c r="AA121" s="146">
        <f t="shared" ref="AA121" si="229">SUM(AA116:AA120)</f>
        <v>0</v>
      </c>
      <c r="AB121" s="147">
        <f t="shared" ref="AB121:AC121" si="230">AVERAGE(AB116:AB120)</f>
        <v>0</v>
      </c>
      <c r="AC121" s="147">
        <f t="shared" si="230"/>
        <v>0</v>
      </c>
      <c r="AD121" s="146">
        <f t="shared" ref="AD121" si="231">SUM(AD116:AD120)</f>
        <v>0</v>
      </c>
      <c r="AE121" s="147">
        <f t="shared" ref="AE121:AF121" si="232">AVERAGE(AE116:AE120)</f>
        <v>0</v>
      </c>
      <c r="AF121" s="147">
        <f t="shared" si="232"/>
        <v>0</v>
      </c>
    </row>
    <row r="122" spans="1:32" x14ac:dyDescent="0.2">
      <c r="A122" s="150" t="s">
        <v>28</v>
      </c>
      <c r="B122" s="4"/>
      <c r="C122" s="144">
        <v>665.2</v>
      </c>
      <c r="D122" s="10">
        <v>0.40100000000000002</v>
      </c>
      <c r="E122" s="144">
        <v>0.153</v>
      </c>
      <c r="F122" s="144">
        <v>665.2</v>
      </c>
      <c r="G122" s="144">
        <v>0.39700000000000002</v>
      </c>
      <c r="H122" s="144">
        <v>0.14899999999999999</v>
      </c>
      <c r="I122" s="144">
        <v>665.2</v>
      </c>
      <c r="J122" s="144">
        <v>0.40699999999999997</v>
      </c>
      <c r="K122" s="144">
        <v>0.151</v>
      </c>
      <c r="L122" s="144">
        <v>665.2</v>
      </c>
      <c r="M122" s="144">
        <v>0.39200000000000002</v>
      </c>
      <c r="N122" s="144">
        <v>0.11799999999999999</v>
      </c>
      <c r="O122" s="144">
        <v>665.2</v>
      </c>
      <c r="P122" s="144">
        <v>0.374</v>
      </c>
      <c r="Q122" s="144">
        <v>0.121</v>
      </c>
      <c r="R122" s="144">
        <v>665.2</v>
      </c>
      <c r="S122" s="144">
        <v>0.51100000000000001</v>
      </c>
      <c r="T122" s="144">
        <v>0.19800000000000001</v>
      </c>
      <c r="U122" s="144">
        <v>665.2</v>
      </c>
      <c r="V122" s="144">
        <v>0.52200000000000002</v>
      </c>
      <c r="W122" s="144">
        <v>0.191</v>
      </c>
      <c r="X122" s="144">
        <v>665.2</v>
      </c>
      <c r="Y122" s="144">
        <v>0.52700000000000002</v>
      </c>
      <c r="Z122" s="144">
        <v>0.19500000000000001</v>
      </c>
      <c r="AA122" s="144">
        <v>665.2</v>
      </c>
      <c r="AB122" s="144">
        <v>0.53100000000000003</v>
      </c>
      <c r="AC122" s="144">
        <v>0.19900000000000001</v>
      </c>
      <c r="AD122" s="144">
        <v>665.2</v>
      </c>
      <c r="AE122" s="144">
        <v>0.53700000000000003</v>
      </c>
      <c r="AF122" s="144">
        <v>0.193</v>
      </c>
    </row>
    <row r="123" spans="1:32" x14ac:dyDescent="0.2">
      <c r="A123" s="71"/>
      <c r="B123" s="144"/>
      <c r="C123" s="144"/>
      <c r="D123" s="4">
        <v>0.34799999999999998</v>
      </c>
      <c r="E123" s="4">
        <v>0.121</v>
      </c>
      <c r="F123" s="10"/>
      <c r="G123" s="4">
        <v>0.34100000000000003</v>
      </c>
      <c r="H123" s="4">
        <v>0.113</v>
      </c>
      <c r="I123" s="10"/>
      <c r="J123" s="4">
        <v>0.32200000000000001</v>
      </c>
      <c r="K123" s="4">
        <v>0.107</v>
      </c>
      <c r="L123" s="10"/>
      <c r="M123" s="4">
        <v>0.318</v>
      </c>
      <c r="N123" s="4">
        <v>0.11700000000000001</v>
      </c>
      <c r="O123" s="10"/>
      <c r="P123" s="4">
        <v>0.33100000000000002</v>
      </c>
      <c r="Q123" s="4">
        <v>0.125</v>
      </c>
      <c r="R123" s="10"/>
      <c r="S123" s="4">
        <v>0.50900000000000001</v>
      </c>
      <c r="T123" s="4">
        <v>0.186</v>
      </c>
      <c r="U123" s="10"/>
      <c r="V123" s="4">
        <v>0.54300000000000004</v>
      </c>
      <c r="W123" s="4">
        <v>0.20100000000000001</v>
      </c>
      <c r="X123" s="10"/>
      <c r="Y123" s="4">
        <v>0.60699999999999998</v>
      </c>
      <c r="Z123" s="4">
        <v>0.21299999999999999</v>
      </c>
      <c r="AA123" s="10"/>
      <c r="AB123" s="4">
        <v>0.625</v>
      </c>
      <c r="AC123" s="4">
        <v>0.20699999999999999</v>
      </c>
      <c r="AD123" s="10"/>
      <c r="AE123" s="4">
        <v>0.65300000000000002</v>
      </c>
      <c r="AF123" s="4">
        <v>0.221</v>
      </c>
    </row>
    <row r="124" spans="1:32" x14ac:dyDescent="0.2">
      <c r="A124" s="71"/>
      <c r="B124" s="144"/>
      <c r="C124" s="144"/>
      <c r="D124" s="4">
        <v>0.29799999999999999</v>
      </c>
      <c r="E124" s="4">
        <v>0.10199999999999999</v>
      </c>
      <c r="F124" s="10"/>
      <c r="G124" s="4">
        <v>0.32200000000000001</v>
      </c>
      <c r="H124" s="4">
        <v>0.13700000000000001</v>
      </c>
      <c r="I124" s="10"/>
      <c r="J124" s="4">
        <v>0.313</v>
      </c>
      <c r="K124" s="4">
        <v>0.124</v>
      </c>
      <c r="L124" s="10"/>
      <c r="M124" s="4">
        <v>0.33900000000000002</v>
      </c>
      <c r="N124" s="4">
        <v>0.109</v>
      </c>
      <c r="O124" s="10"/>
      <c r="P124" s="4">
        <v>0.34300000000000003</v>
      </c>
      <c r="Q124" s="4">
        <v>0.107</v>
      </c>
      <c r="R124" s="10"/>
      <c r="S124" s="4">
        <v>0.51</v>
      </c>
      <c r="T124" s="4">
        <v>0.18099999999999999</v>
      </c>
      <c r="U124" s="10"/>
      <c r="V124" s="4">
        <v>0.59699999999999998</v>
      </c>
      <c r="W124" s="4">
        <v>0.20899999999999999</v>
      </c>
      <c r="X124" s="10"/>
      <c r="Y124" s="4">
        <v>0.61499999999999999</v>
      </c>
      <c r="Z124" s="4">
        <v>0.217</v>
      </c>
      <c r="AA124" s="10"/>
      <c r="AB124" s="4">
        <v>0.61699999999999999</v>
      </c>
      <c r="AC124" s="4">
        <v>0.20499999999999999</v>
      </c>
      <c r="AD124" s="10"/>
      <c r="AE124" s="4">
        <v>0.63200000000000001</v>
      </c>
      <c r="AF124" s="4">
        <v>0.219</v>
      </c>
    </row>
    <row r="125" spans="1:32" x14ac:dyDescent="0.2">
      <c r="A125" s="71"/>
      <c r="B125" s="144"/>
      <c r="C125" s="144"/>
      <c r="D125" s="4">
        <v>0.34799999999999998</v>
      </c>
      <c r="E125" s="4">
        <v>0.121</v>
      </c>
      <c r="F125" s="10"/>
      <c r="G125" s="4">
        <v>0.34100000000000003</v>
      </c>
      <c r="H125" s="4">
        <v>0.113</v>
      </c>
      <c r="I125" s="10"/>
      <c r="J125" s="4">
        <v>0.34100000000000003</v>
      </c>
      <c r="K125" s="4">
        <v>0.10299999999999999</v>
      </c>
      <c r="L125" s="10"/>
      <c r="M125" s="4">
        <v>0.32500000000000001</v>
      </c>
      <c r="N125" s="4">
        <v>0.106</v>
      </c>
      <c r="O125" s="10"/>
      <c r="P125" s="4">
        <v>0.34300000000000003</v>
      </c>
      <c r="Q125" s="4">
        <v>0.107</v>
      </c>
      <c r="R125" s="10"/>
      <c r="S125" s="4">
        <v>0.50900000000000001</v>
      </c>
      <c r="T125" s="4">
        <v>0.186</v>
      </c>
      <c r="U125" s="10"/>
      <c r="V125" s="4">
        <v>0.54300000000000004</v>
      </c>
      <c r="W125" s="4">
        <v>0.20100000000000001</v>
      </c>
      <c r="X125" s="10"/>
      <c r="Y125" s="4">
        <v>0.60699999999999998</v>
      </c>
      <c r="Z125" s="4">
        <v>0.21299999999999999</v>
      </c>
      <c r="AA125" s="10"/>
      <c r="AB125" s="4">
        <v>0.625</v>
      </c>
      <c r="AC125" s="4">
        <v>0.20699999999999999</v>
      </c>
      <c r="AD125" s="10"/>
      <c r="AE125" s="4">
        <v>0.63200000000000001</v>
      </c>
      <c r="AF125" s="4">
        <v>0.219</v>
      </c>
    </row>
    <row r="126" spans="1:32" x14ac:dyDescent="0.2">
      <c r="A126" s="71"/>
      <c r="B126" s="144"/>
      <c r="C126" s="144"/>
      <c r="D126" s="4">
        <v>0.33800000000000002</v>
      </c>
      <c r="E126" s="4">
        <v>0.14099999999999999</v>
      </c>
      <c r="F126" s="10"/>
      <c r="G126" s="4">
        <v>0.35199999999999998</v>
      </c>
      <c r="H126" s="4">
        <v>0.14299999999999999</v>
      </c>
      <c r="I126" s="10"/>
      <c r="J126" s="4">
        <v>0.313</v>
      </c>
      <c r="K126" s="4">
        <v>0.124</v>
      </c>
      <c r="L126" s="10"/>
      <c r="M126" s="4">
        <v>0.32700000000000001</v>
      </c>
      <c r="N126" s="4">
        <v>0.104</v>
      </c>
      <c r="O126" s="10"/>
      <c r="P126" s="4">
        <v>0.33700000000000002</v>
      </c>
      <c r="Q126" s="4">
        <v>0.11899999999999999</v>
      </c>
      <c r="R126" s="10"/>
      <c r="S126" s="4">
        <v>0.51600000000000001</v>
      </c>
      <c r="T126" s="4">
        <v>0.20300000000000001</v>
      </c>
      <c r="U126" s="10"/>
      <c r="V126" s="4">
        <v>0.59699999999999998</v>
      </c>
      <c r="W126" s="4">
        <v>0.20899999999999999</v>
      </c>
      <c r="X126" s="10"/>
      <c r="Y126" s="4">
        <v>0.61499999999999999</v>
      </c>
      <c r="Z126" s="4">
        <v>0.217</v>
      </c>
      <c r="AA126" s="10"/>
      <c r="AB126" s="4">
        <v>0.60799999999999998</v>
      </c>
      <c r="AC126" s="4">
        <v>0.21299999999999999</v>
      </c>
      <c r="AD126" s="10"/>
      <c r="AE126" s="117">
        <v>0.64480411092500001</v>
      </c>
      <c r="AF126" s="117">
        <v>0.22469588032500001</v>
      </c>
    </row>
    <row r="127" spans="1:32" x14ac:dyDescent="0.2">
      <c r="A127" s="145"/>
      <c r="B127" s="146" t="s">
        <v>491</v>
      </c>
      <c r="C127" s="146">
        <f>C122</f>
        <v>665.2</v>
      </c>
      <c r="D127" s="147">
        <f>AVERAGE(D122:D126)</f>
        <v>0.34660000000000002</v>
      </c>
      <c r="E127" s="147">
        <f>AVERAGE(E122:E126)</f>
        <v>0.12759999999999999</v>
      </c>
      <c r="F127" s="146">
        <f>F122</f>
        <v>665.2</v>
      </c>
      <c r="G127" s="147">
        <f>AVERAGE(G122:G126)</f>
        <v>0.35060000000000002</v>
      </c>
      <c r="H127" s="147">
        <f>AVERAGE(H122:H126)</f>
        <v>0.13100000000000001</v>
      </c>
      <c r="I127" s="146">
        <f>I122</f>
        <v>665.2</v>
      </c>
      <c r="J127" s="147">
        <f>AVERAGE(J122:J126)</f>
        <v>0.3392</v>
      </c>
      <c r="K127" s="147">
        <f>AVERAGE(K122:K126)</f>
        <v>0.12179999999999999</v>
      </c>
      <c r="L127" s="146">
        <f>L122</f>
        <v>665.2</v>
      </c>
      <c r="M127" s="147">
        <f>AVERAGE(M122:M126)</f>
        <v>0.34019999999999995</v>
      </c>
      <c r="N127" s="147">
        <f>AVERAGE(N122:N126)</f>
        <v>0.11079999999999998</v>
      </c>
      <c r="O127" s="146">
        <f>SUM(O122:O126)</f>
        <v>665.2</v>
      </c>
      <c r="P127" s="147">
        <f>AVERAGE(P122:P126)</f>
        <v>0.34560000000000002</v>
      </c>
      <c r="Q127" s="147">
        <f>AVERAGE(Q122:Q126)</f>
        <v>0.11579999999999999</v>
      </c>
      <c r="R127" s="146">
        <f t="shared" ref="R127" si="233">SUM(R122:R126)</f>
        <v>665.2</v>
      </c>
      <c r="S127" s="147">
        <f t="shared" ref="S127:T127" si="234">AVERAGE(S122:S126)</f>
        <v>0.51100000000000001</v>
      </c>
      <c r="T127" s="147">
        <f t="shared" si="234"/>
        <v>0.1908</v>
      </c>
      <c r="U127" s="146">
        <f t="shared" ref="U127" si="235">SUM(U122:U126)</f>
        <v>665.2</v>
      </c>
      <c r="V127" s="147">
        <f t="shared" ref="V127:W127" si="236">AVERAGE(V122:V126)</f>
        <v>0.56040000000000001</v>
      </c>
      <c r="W127" s="147">
        <f t="shared" si="236"/>
        <v>0.20220000000000002</v>
      </c>
      <c r="X127" s="146">
        <f t="shared" ref="X127" si="237">SUM(X122:X126)</f>
        <v>665.2</v>
      </c>
      <c r="Y127" s="147">
        <f t="shared" ref="Y127:Z127" si="238">AVERAGE(Y122:Y126)</f>
        <v>0.59420000000000006</v>
      </c>
      <c r="Z127" s="147">
        <f t="shared" si="238"/>
        <v>0.21099999999999999</v>
      </c>
      <c r="AA127" s="146">
        <f t="shared" ref="AA127" si="239">SUM(AA122:AA126)</f>
        <v>665.2</v>
      </c>
      <c r="AB127" s="147">
        <f t="shared" ref="AB127:AC127" si="240">AVERAGE(AB122:AB126)</f>
        <v>0.60120000000000007</v>
      </c>
      <c r="AC127" s="147">
        <f t="shared" si="240"/>
        <v>0.20619999999999999</v>
      </c>
      <c r="AD127" s="146">
        <f t="shared" ref="AD127" si="241">SUM(AD122:AD126)</f>
        <v>665.2</v>
      </c>
      <c r="AE127" s="147">
        <f t="shared" ref="AE127:AF127" si="242">AVERAGE(AE122:AE126)</f>
        <v>0.61976082218500006</v>
      </c>
      <c r="AF127" s="147">
        <f t="shared" si="242"/>
        <v>0.215339176065</v>
      </c>
    </row>
    <row r="128" spans="1:32" x14ac:dyDescent="0.2">
      <c r="A128" s="150" t="s">
        <v>29</v>
      </c>
      <c r="B128" s="4"/>
      <c r="C128" s="144">
        <v>99.65</v>
      </c>
      <c r="D128" s="10">
        <v>0.34499999999999997</v>
      </c>
      <c r="E128" s="144">
        <v>0.20100000000000001</v>
      </c>
      <c r="F128" s="10">
        <v>99.65</v>
      </c>
      <c r="G128" s="144">
        <v>0.36699999999999999</v>
      </c>
      <c r="H128" s="10">
        <v>0.17599999999999999</v>
      </c>
      <c r="I128" s="10">
        <v>99.65</v>
      </c>
      <c r="J128" s="10">
        <v>0.35099999999999998</v>
      </c>
      <c r="K128" s="10">
        <v>0.14299999999999999</v>
      </c>
      <c r="L128" s="10">
        <v>99.65</v>
      </c>
      <c r="M128" s="10">
        <v>0.374</v>
      </c>
      <c r="N128" s="10">
        <v>0.16500000000000001</v>
      </c>
      <c r="O128" s="10">
        <v>99.65</v>
      </c>
      <c r="P128" s="10">
        <v>0.36399999999999999</v>
      </c>
      <c r="Q128" s="10">
        <v>0.155</v>
      </c>
      <c r="R128" s="10">
        <v>99.65</v>
      </c>
      <c r="S128" s="10">
        <v>0.53100000000000003</v>
      </c>
      <c r="T128" s="10">
        <v>0.20300000000000001</v>
      </c>
      <c r="U128" s="10">
        <v>99.65</v>
      </c>
      <c r="V128" s="10">
        <v>0.53700000000000003</v>
      </c>
      <c r="W128" s="10">
        <v>0.19500000000000001</v>
      </c>
      <c r="X128" s="10">
        <v>99.65</v>
      </c>
      <c r="Y128" s="10">
        <v>0.53800000000000003</v>
      </c>
      <c r="Z128" s="10">
        <v>0.19700000000000001</v>
      </c>
      <c r="AA128" s="10">
        <v>99.65</v>
      </c>
      <c r="AB128" s="10">
        <v>0.53900000000000003</v>
      </c>
      <c r="AC128" s="10">
        <v>0.19800000000000001</v>
      </c>
      <c r="AD128" s="10">
        <v>99.65</v>
      </c>
      <c r="AE128" s="10">
        <v>0.54500000000000004</v>
      </c>
      <c r="AF128" s="10">
        <v>0.19400000000000001</v>
      </c>
    </row>
    <row r="129" spans="1:32" x14ac:dyDescent="0.2">
      <c r="A129" s="71"/>
      <c r="B129" s="144"/>
      <c r="C129" s="144"/>
      <c r="D129" s="4">
        <v>0.29799999999999999</v>
      </c>
      <c r="E129" s="4">
        <v>0.10199999999999999</v>
      </c>
      <c r="F129" s="10"/>
      <c r="G129" s="4">
        <v>0.32200000000000001</v>
      </c>
      <c r="H129" s="4">
        <v>0.13700000000000001</v>
      </c>
      <c r="I129" s="10"/>
      <c r="J129" s="4">
        <v>0.313</v>
      </c>
      <c r="K129" s="4">
        <v>0.124</v>
      </c>
      <c r="L129" s="10"/>
      <c r="M129" s="4">
        <v>0.33900000000000002</v>
      </c>
      <c r="N129" s="4">
        <v>0.109</v>
      </c>
      <c r="O129" s="10"/>
      <c r="P129" s="4">
        <v>0.34300000000000003</v>
      </c>
      <c r="Q129" s="4">
        <v>0.107</v>
      </c>
      <c r="R129" s="10"/>
      <c r="S129" s="4">
        <v>0.51</v>
      </c>
      <c r="T129" s="4">
        <v>0.18099999999999999</v>
      </c>
      <c r="U129" s="10"/>
      <c r="V129" s="4">
        <v>0.59699999999999998</v>
      </c>
      <c r="W129" s="4">
        <v>0.20899999999999999</v>
      </c>
      <c r="X129" s="10"/>
      <c r="Y129" s="4">
        <v>0.61499999999999999</v>
      </c>
      <c r="Z129" s="4">
        <v>0.217</v>
      </c>
      <c r="AA129" s="10"/>
      <c r="AB129" s="4">
        <v>0.61699999999999999</v>
      </c>
      <c r="AC129" s="4">
        <v>0.20499999999999999</v>
      </c>
      <c r="AD129" s="10"/>
      <c r="AE129" s="4">
        <v>0.63200000000000001</v>
      </c>
      <c r="AF129" s="4">
        <v>0.219</v>
      </c>
    </row>
    <row r="130" spans="1:32" x14ac:dyDescent="0.2">
      <c r="A130" s="71"/>
      <c r="B130" s="144"/>
      <c r="C130" s="144"/>
      <c r="D130" s="4">
        <v>0.34799999999999998</v>
      </c>
      <c r="E130" s="4">
        <v>0.121</v>
      </c>
      <c r="F130" s="10"/>
      <c r="G130" s="4">
        <v>0.34100000000000003</v>
      </c>
      <c r="H130" s="4">
        <v>0.113</v>
      </c>
      <c r="I130" s="10"/>
      <c r="J130" s="4">
        <v>0.34100000000000003</v>
      </c>
      <c r="K130" s="4">
        <v>0.10299999999999999</v>
      </c>
      <c r="L130" s="10"/>
      <c r="M130" s="4">
        <v>0.32500000000000001</v>
      </c>
      <c r="N130" s="4">
        <v>0.106</v>
      </c>
      <c r="O130" s="10"/>
      <c r="P130" s="4">
        <v>0.34300000000000003</v>
      </c>
      <c r="Q130" s="4">
        <v>0.107</v>
      </c>
      <c r="R130" s="10"/>
      <c r="S130" s="4">
        <v>0.50900000000000001</v>
      </c>
      <c r="T130" s="4">
        <v>0.186</v>
      </c>
      <c r="U130" s="10"/>
      <c r="V130" s="4">
        <v>0.54300000000000004</v>
      </c>
      <c r="W130" s="4">
        <v>0.20100000000000001</v>
      </c>
      <c r="X130" s="10"/>
      <c r="Y130" s="4">
        <v>0.60699999999999998</v>
      </c>
      <c r="Z130" s="4">
        <v>0.21299999999999999</v>
      </c>
      <c r="AA130" s="10"/>
      <c r="AB130" s="4">
        <v>0.625</v>
      </c>
      <c r="AC130" s="4">
        <v>0.20699999999999999</v>
      </c>
      <c r="AD130" s="10"/>
      <c r="AE130" s="4">
        <v>0.63200000000000001</v>
      </c>
      <c r="AF130" s="4">
        <v>0.219</v>
      </c>
    </row>
    <row r="131" spans="1:32" x14ac:dyDescent="0.2">
      <c r="A131" s="71"/>
      <c r="B131" s="144"/>
      <c r="C131" s="144"/>
      <c r="D131" s="4">
        <v>0.33800000000000002</v>
      </c>
      <c r="E131" s="4">
        <v>0.14099999999999999</v>
      </c>
      <c r="F131" s="10"/>
      <c r="G131" s="4">
        <v>0.35199999999999998</v>
      </c>
      <c r="H131" s="4">
        <v>0.14299999999999999</v>
      </c>
      <c r="I131" s="10"/>
      <c r="J131" s="4">
        <v>0.313</v>
      </c>
      <c r="K131" s="4">
        <v>0.124</v>
      </c>
      <c r="L131" s="10"/>
      <c r="M131" s="4">
        <v>0.32700000000000001</v>
      </c>
      <c r="N131" s="4">
        <v>0.104</v>
      </c>
      <c r="O131" s="10"/>
      <c r="P131" s="4">
        <v>0.33700000000000002</v>
      </c>
      <c r="Q131" s="4">
        <v>0.11899999999999999</v>
      </c>
      <c r="R131" s="10"/>
      <c r="S131" s="4">
        <v>0.51600000000000001</v>
      </c>
      <c r="T131" s="4">
        <v>0.20300000000000001</v>
      </c>
      <c r="U131" s="10"/>
      <c r="V131" s="4">
        <v>0.59699999999999998</v>
      </c>
      <c r="W131" s="4">
        <v>0.20899999999999999</v>
      </c>
      <c r="X131" s="10"/>
      <c r="Y131" s="4">
        <v>0.61499999999999999</v>
      </c>
      <c r="Z131" s="4">
        <v>0.217</v>
      </c>
      <c r="AA131" s="10"/>
      <c r="AB131" s="4">
        <v>0.60799999999999998</v>
      </c>
      <c r="AC131" s="4">
        <v>0.21299999999999999</v>
      </c>
      <c r="AD131" s="10"/>
      <c r="AE131" s="117">
        <v>0.64480411092500001</v>
      </c>
      <c r="AF131" s="117">
        <v>0.22469588032500001</v>
      </c>
    </row>
    <row r="132" spans="1:32" x14ac:dyDescent="0.2">
      <c r="A132" s="145"/>
      <c r="B132" s="146" t="s">
        <v>492</v>
      </c>
      <c r="C132" s="146">
        <f>C128</f>
        <v>99.65</v>
      </c>
      <c r="D132" s="147">
        <f>AVERAGE(D128:D131)</f>
        <v>0.33224999999999999</v>
      </c>
      <c r="E132" s="147">
        <f>AVERAGE(E128:E131)</f>
        <v>0.14124999999999999</v>
      </c>
      <c r="F132" s="146">
        <f>F128</f>
        <v>99.65</v>
      </c>
      <c r="G132" s="147">
        <f>AVERAGE(G128:G131)</f>
        <v>0.34550000000000003</v>
      </c>
      <c r="H132" s="147">
        <f>AVERAGE(H128:H131)</f>
        <v>0.14224999999999999</v>
      </c>
      <c r="I132" s="146">
        <f>I128</f>
        <v>99.65</v>
      </c>
      <c r="J132" s="147">
        <f>AVERAGE(J128:J131)</f>
        <v>0.32949999999999996</v>
      </c>
      <c r="K132" s="147">
        <f>AVERAGE(K128:K131)</f>
        <v>0.1235</v>
      </c>
      <c r="L132" s="146">
        <f>L128</f>
        <v>99.65</v>
      </c>
      <c r="M132" s="147">
        <f>AVERAGE(M128:M131)</f>
        <v>0.34125</v>
      </c>
      <c r="N132" s="147">
        <f>AVERAGE(N128:N131)</f>
        <v>0.121</v>
      </c>
      <c r="O132" s="146">
        <f>SUM(O128:O131)</f>
        <v>99.65</v>
      </c>
      <c r="P132" s="147">
        <f>AVERAGE(P128:P131)</f>
        <v>0.34675</v>
      </c>
      <c r="Q132" s="147">
        <f>AVERAGE(Q128:Q131)</f>
        <v>0.122</v>
      </c>
      <c r="R132" s="146">
        <f t="shared" ref="R132" si="243">SUM(R128:R131)</f>
        <v>99.65</v>
      </c>
      <c r="S132" s="147">
        <f t="shared" ref="S132:T132" si="244">AVERAGE(S128:S131)</f>
        <v>0.51649999999999996</v>
      </c>
      <c r="T132" s="147">
        <f t="shared" si="244"/>
        <v>0.19325000000000003</v>
      </c>
      <c r="U132" s="146">
        <f t="shared" ref="U132" si="245">SUM(U128:U131)</f>
        <v>99.65</v>
      </c>
      <c r="V132" s="147">
        <f t="shared" ref="V132:W132" si="246">AVERAGE(V128:V131)</f>
        <v>0.56850000000000001</v>
      </c>
      <c r="W132" s="147">
        <f t="shared" si="246"/>
        <v>0.20349999999999999</v>
      </c>
      <c r="X132" s="146">
        <f t="shared" ref="X132" si="247">SUM(X128:X131)</f>
        <v>99.65</v>
      </c>
      <c r="Y132" s="147">
        <f t="shared" ref="Y132:Z132" si="248">AVERAGE(Y128:Y131)</f>
        <v>0.59375</v>
      </c>
      <c r="Z132" s="147">
        <f t="shared" si="248"/>
        <v>0.21099999999999999</v>
      </c>
      <c r="AA132" s="146">
        <f t="shared" ref="AA132" si="249">SUM(AA128:AA131)</f>
        <v>99.65</v>
      </c>
      <c r="AB132" s="147">
        <f t="shared" ref="AB132:AC132" si="250">AVERAGE(AB128:AB131)</f>
        <v>0.59725000000000006</v>
      </c>
      <c r="AC132" s="147">
        <f t="shared" si="250"/>
        <v>0.20574999999999999</v>
      </c>
      <c r="AD132" s="146">
        <f t="shared" ref="AD132" si="251">SUM(AD128:AD131)</f>
        <v>99.65</v>
      </c>
      <c r="AE132" s="147">
        <f t="shared" ref="AE132:AF132" si="252">AVERAGE(AE128:AE131)</f>
        <v>0.61345102773125004</v>
      </c>
      <c r="AF132" s="147">
        <f t="shared" si="252"/>
        <v>0.21417397008125</v>
      </c>
    </row>
    <row r="133" spans="1:32" x14ac:dyDescent="0.2">
      <c r="A133" s="71" t="s">
        <v>30</v>
      </c>
      <c r="B133" s="51"/>
      <c r="C133" s="144">
        <v>2633.9297820000002</v>
      </c>
      <c r="D133" s="4">
        <v>0.34799999999999998</v>
      </c>
      <c r="E133" s="4">
        <v>0.121</v>
      </c>
      <c r="F133" s="144">
        <v>2633.9297820000002</v>
      </c>
      <c r="G133" s="4">
        <v>0.34100000000000003</v>
      </c>
      <c r="H133" s="4">
        <v>0.113</v>
      </c>
      <c r="I133" s="144">
        <v>2633.9297820000002</v>
      </c>
      <c r="J133" s="4">
        <v>0.32200000000000001</v>
      </c>
      <c r="K133" s="4">
        <v>0.107</v>
      </c>
      <c r="L133" s="144">
        <v>2633.9297820000002</v>
      </c>
      <c r="M133" s="4">
        <v>0.318</v>
      </c>
      <c r="N133" s="4">
        <v>0.11700000000000001</v>
      </c>
      <c r="O133" s="144">
        <v>2633.9297820000002</v>
      </c>
      <c r="P133" s="4">
        <v>0.33100000000000002</v>
      </c>
      <c r="Q133" s="4">
        <v>0.125</v>
      </c>
      <c r="R133" s="4">
        <v>0</v>
      </c>
      <c r="S133" s="4">
        <v>0</v>
      </c>
      <c r="T133" s="4">
        <v>0</v>
      </c>
      <c r="U133" s="10">
        <v>0</v>
      </c>
      <c r="V133" s="4">
        <v>0</v>
      </c>
      <c r="W133" s="4">
        <v>0</v>
      </c>
      <c r="X133" s="10">
        <v>0</v>
      </c>
      <c r="Y133" s="4">
        <v>0</v>
      </c>
      <c r="Z133" s="4">
        <v>0</v>
      </c>
      <c r="AA133" s="10">
        <v>1012.397</v>
      </c>
      <c r="AB133" s="4">
        <v>0.625</v>
      </c>
      <c r="AC133" s="4">
        <v>0.20699999999999999</v>
      </c>
      <c r="AD133" s="4">
        <v>0</v>
      </c>
      <c r="AE133" s="4">
        <v>0</v>
      </c>
      <c r="AF133" s="4">
        <v>0</v>
      </c>
    </row>
    <row r="134" spans="1:32" x14ac:dyDescent="0.2">
      <c r="A134" s="10"/>
      <c r="B134" s="144"/>
      <c r="C134" s="144"/>
      <c r="D134" s="4">
        <v>0.29799999999999999</v>
      </c>
      <c r="E134" s="4">
        <v>0.10199999999999999</v>
      </c>
      <c r="F134" s="10"/>
      <c r="G134" s="4">
        <v>0.32200000000000001</v>
      </c>
      <c r="H134" s="4">
        <v>0.13700000000000001</v>
      </c>
      <c r="I134" s="10"/>
      <c r="J134" s="4">
        <v>0.313</v>
      </c>
      <c r="K134" s="4">
        <v>0.124</v>
      </c>
      <c r="L134" s="10"/>
      <c r="M134" s="4">
        <v>0.33900000000000002</v>
      </c>
      <c r="N134" s="4">
        <v>0.109</v>
      </c>
      <c r="O134" s="10"/>
      <c r="P134" s="4">
        <v>0.34300000000000003</v>
      </c>
      <c r="Q134" s="4">
        <v>0.107</v>
      </c>
      <c r="R134" s="10"/>
      <c r="S134" s="4"/>
      <c r="T134" s="4"/>
      <c r="U134" s="10"/>
      <c r="V134" s="4"/>
      <c r="W134" s="4"/>
      <c r="X134" s="10"/>
      <c r="Y134" s="4"/>
      <c r="Z134" s="4"/>
      <c r="AA134" s="10"/>
      <c r="AB134" s="4">
        <v>0.61699999999999999</v>
      </c>
      <c r="AC134" s="4">
        <v>0.20499999999999999</v>
      </c>
      <c r="AD134" s="10"/>
      <c r="AE134" s="4"/>
      <c r="AF134" s="4"/>
    </row>
    <row r="135" spans="1:32" x14ac:dyDescent="0.2">
      <c r="A135" s="10"/>
      <c r="B135" s="144"/>
      <c r="C135" s="144"/>
      <c r="D135" s="4">
        <v>0.34799999999999998</v>
      </c>
      <c r="E135" s="4">
        <v>0.121</v>
      </c>
      <c r="F135" s="10"/>
      <c r="G135" s="4">
        <v>0.34100000000000003</v>
      </c>
      <c r="H135" s="4">
        <v>0.113</v>
      </c>
      <c r="I135" s="10"/>
      <c r="J135" s="4">
        <v>0.34100000000000003</v>
      </c>
      <c r="K135" s="4">
        <v>0.10299999999999999</v>
      </c>
      <c r="L135" s="10"/>
      <c r="M135" s="4">
        <v>0.32500000000000001</v>
      </c>
      <c r="N135" s="4">
        <v>0.106</v>
      </c>
      <c r="O135" s="10"/>
      <c r="P135" s="4">
        <v>0.34300000000000003</v>
      </c>
      <c r="Q135" s="4">
        <v>0.107</v>
      </c>
      <c r="R135" s="10"/>
      <c r="S135" s="4"/>
      <c r="T135" s="4"/>
      <c r="U135" s="10"/>
      <c r="V135" s="4"/>
      <c r="W135" s="4"/>
      <c r="X135" s="10"/>
      <c r="Y135" s="4"/>
      <c r="Z135" s="4"/>
      <c r="AA135" s="10"/>
      <c r="AB135" s="4">
        <v>0.625</v>
      </c>
      <c r="AC135" s="4">
        <v>0.20699999999999999</v>
      </c>
      <c r="AD135" s="10"/>
      <c r="AE135" s="4"/>
      <c r="AF135" s="4"/>
    </row>
    <row r="136" spans="1:32" x14ac:dyDescent="0.2">
      <c r="A136" s="10"/>
      <c r="B136" s="144"/>
      <c r="C136" s="144"/>
      <c r="D136" s="4">
        <v>0.33800000000000002</v>
      </c>
      <c r="E136" s="4">
        <v>0.14099999999999999</v>
      </c>
      <c r="F136" s="10"/>
      <c r="G136" s="4">
        <v>0.35199999999999998</v>
      </c>
      <c r="H136" s="4">
        <v>0.14299999999999999</v>
      </c>
      <c r="I136" s="10"/>
      <c r="J136" s="4">
        <v>0.313</v>
      </c>
      <c r="K136" s="4">
        <v>0.124</v>
      </c>
      <c r="L136" s="10"/>
      <c r="M136" s="4">
        <v>0.32700000000000001</v>
      </c>
      <c r="N136" s="4">
        <v>0.104</v>
      </c>
      <c r="O136" s="10"/>
      <c r="P136" s="4">
        <v>0.33700000000000002</v>
      </c>
      <c r="Q136" s="4">
        <v>0.11899999999999999</v>
      </c>
      <c r="R136" s="10"/>
      <c r="S136" s="4"/>
      <c r="T136" s="4"/>
      <c r="U136" s="10"/>
      <c r="V136" s="4"/>
      <c r="W136" s="4"/>
      <c r="X136" s="10"/>
      <c r="Y136" s="4"/>
      <c r="Z136" s="4"/>
      <c r="AA136" s="10"/>
      <c r="AB136" s="4">
        <v>0.60799999999999998</v>
      </c>
      <c r="AC136" s="4">
        <v>0.21299999999999999</v>
      </c>
      <c r="AD136" s="10"/>
      <c r="AE136" s="117"/>
      <c r="AF136" s="117"/>
    </row>
    <row r="137" spans="1:32" x14ac:dyDescent="0.2">
      <c r="A137" s="10"/>
      <c r="B137" s="144"/>
      <c r="C137" s="144"/>
      <c r="D137" s="4">
        <v>0.34899999999999998</v>
      </c>
      <c r="E137" s="4">
        <v>0.13700000000000001</v>
      </c>
      <c r="F137" s="10"/>
      <c r="G137" s="4">
        <v>0.35699999999999998</v>
      </c>
      <c r="H137" s="4">
        <v>0.123</v>
      </c>
      <c r="I137" s="10"/>
      <c r="J137" s="4">
        <v>0.34100000000000003</v>
      </c>
      <c r="K137" s="4">
        <v>0.10299999999999999</v>
      </c>
      <c r="L137" s="10"/>
      <c r="M137" s="4">
        <v>0.32500000000000001</v>
      </c>
      <c r="N137" s="4">
        <v>0.106</v>
      </c>
      <c r="O137" s="10"/>
      <c r="P137" s="4">
        <v>0.33900000000000002</v>
      </c>
      <c r="Q137" s="4">
        <v>0.112</v>
      </c>
      <c r="R137" s="10"/>
      <c r="S137" s="4"/>
      <c r="T137" s="4"/>
      <c r="U137" s="10"/>
      <c r="V137" s="4"/>
      <c r="W137" s="4"/>
      <c r="X137" s="10"/>
      <c r="Y137" s="4"/>
      <c r="Z137" s="4"/>
      <c r="AA137" s="10"/>
      <c r="AB137" s="4">
        <v>0.63200000000000001</v>
      </c>
      <c r="AC137" s="4">
        <v>0.218</v>
      </c>
      <c r="AD137" s="10"/>
      <c r="AE137" s="4"/>
      <c r="AF137" s="4"/>
    </row>
    <row r="138" spans="1:32" x14ac:dyDescent="0.2">
      <c r="A138" s="10"/>
      <c r="B138" s="144"/>
      <c r="C138" s="144"/>
      <c r="D138" s="4">
        <v>0.34799999999999998</v>
      </c>
      <c r="E138" s="4">
        <v>0.121</v>
      </c>
      <c r="F138" s="10"/>
      <c r="G138" s="4">
        <v>0.34100000000000003</v>
      </c>
      <c r="H138" s="4">
        <v>0.113</v>
      </c>
      <c r="I138" s="10"/>
      <c r="J138" s="4">
        <v>0.32200000000000001</v>
      </c>
      <c r="K138" s="4">
        <v>0.107</v>
      </c>
      <c r="L138" s="10"/>
      <c r="M138" s="4">
        <v>0.318</v>
      </c>
      <c r="N138" s="4">
        <v>0.11700000000000001</v>
      </c>
      <c r="O138" s="10"/>
      <c r="P138" s="4">
        <v>0.33100000000000002</v>
      </c>
      <c r="Q138" s="4">
        <v>0.125</v>
      </c>
      <c r="R138" s="10"/>
      <c r="S138" s="4"/>
      <c r="T138" s="4"/>
      <c r="U138" s="10"/>
      <c r="V138" s="4"/>
      <c r="W138" s="4"/>
      <c r="X138" s="10"/>
      <c r="Y138" s="4"/>
      <c r="Z138" s="4"/>
      <c r="AA138" s="10"/>
      <c r="AB138" s="4">
        <v>0.625</v>
      </c>
      <c r="AC138" s="4">
        <v>0.20699999999999999</v>
      </c>
      <c r="AD138" s="10"/>
      <c r="AE138" s="4"/>
      <c r="AF138" s="4"/>
    </row>
    <row r="139" spans="1:32" x14ac:dyDescent="0.2">
      <c r="A139" s="10"/>
      <c r="B139" s="144"/>
      <c r="C139" s="144"/>
      <c r="D139" s="4">
        <v>0.29799999999999999</v>
      </c>
      <c r="E139" s="4">
        <v>0.10199999999999999</v>
      </c>
      <c r="F139" s="10"/>
      <c r="G139" s="4">
        <v>0.32200000000000001</v>
      </c>
      <c r="H139" s="4">
        <v>0.13700000000000001</v>
      </c>
      <c r="I139" s="10"/>
      <c r="J139" s="4">
        <v>0.313</v>
      </c>
      <c r="K139" s="4">
        <v>0.124</v>
      </c>
      <c r="L139" s="10"/>
      <c r="M139" s="4">
        <v>0.33900000000000002</v>
      </c>
      <c r="N139" s="4">
        <v>0.109</v>
      </c>
      <c r="O139" s="10"/>
      <c r="P139" s="4">
        <v>0.34300000000000003</v>
      </c>
      <c r="Q139" s="4">
        <v>0.107</v>
      </c>
      <c r="R139" s="10"/>
      <c r="S139" s="4"/>
      <c r="T139" s="4"/>
      <c r="U139" s="10"/>
      <c r="V139" s="4"/>
      <c r="W139" s="4"/>
      <c r="X139" s="10"/>
      <c r="Y139" s="4"/>
      <c r="Z139" s="4"/>
      <c r="AA139" s="10"/>
      <c r="AB139" s="4">
        <v>0.61699999999999999</v>
      </c>
      <c r="AC139" s="4">
        <v>0.20499999999999999</v>
      </c>
      <c r="AD139" s="10"/>
      <c r="AE139" s="4"/>
      <c r="AF139" s="4"/>
    </row>
    <row r="140" spans="1:32" x14ac:dyDescent="0.2">
      <c r="A140" s="145"/>
      <c r="B140" s="146" t="s">
        <v>493</v>
      </c>
      <c r="C140" s="146">
        <f>C133</f>
        <v>2633.9297820000002</v>
      </c>
      <c r="D140" s="147">
        <f>AVERAGE(D133:D139)</f>
        <v>0.33242857142857141</v>
      </c>
      <c r="E140" s="147">
        <f>AVERAGE(E133:E139)</f>
        <v>0.1207142857142857</v>
      </c>
      <c r="F140" s="146">
        <f>F133</f>
        <v>2633.9297820000002</v>
      </c>
      <c r="G140" s="147">
        <f t="shared" ref="G140:H140" si="253">AVERAGE(G133:G139)</f>
        <v>0.33942857142857141</v>
      </c>
      <c r="H140" s="147">
        <f t="shared" si="253"/>
        <v>0.12557142857142858</v>
      </c>
      <c r="I140" s="146">
        <f>I133</f>
        <v>2633.9297820000002</v>
      </c>
      <c r="J140" s="147">
        <f t="shared" ref="J140:K140" si="254">AVERAGE(J133:J139)</f>
        <v>0.32357142857142857</v>
      </c>
      <c r="K140" s="147">
        <f t="shared" si="254"/>
        <v>0.11314285714285713</v>
      </c>
      <c r="L140" s="146">
        <f>L133</f>
        <v>2633.9297820000002</v>
      </c>
      <c r="M140" s="147">
        <f t="shared" ref="M140:N140" si="255">AVERAGE(M133:M139)</f>
        <v>0.32728571428571429</v>
      </c>
      <c r="N140" s="147">
        <f t="shared" si="255"/>
        <v>0.10971428571428572</v>
      </c>
      <c r="O140" s="146">
        <f t="shared" ref="O140" si="256">SUM(O133:O139)</f>
        <v>2633.9297820000002</v>
      </c>
      <c r="P140" s="147">
        <f t="shared" ref="P140:Q140" si="257">AVERAGE(P133:P139)</f>
        <v>0.33814285714285713</v>
      </c>
      <c r="Q140" s="147">
        <f t="shared" si="257"/>
        <v>0.11457142857142856</v>
      </c>
      <c r="R140" s="146">
        <f t="shared" ref="R140" si="258">SUM(R133:R139)</f>
        <v>0</v>
      </c>
      <c r="S140" s="147">
        <f t="shared" ref="S140:T140" si="259">AVERAGE(S133:S139)</f>
        <v>0</v>
      </c>
      <c r="T140" s="147">
        <f t="shared" si="259"/>
        <v>0</v>
      </c>
      <c r="U140" s="146">
        <f t="shared" ref="U140" si="260">SUM(U133:U139)</f>
        <v>0</v>
      </c>
      <c r="V140" s="147">
        <f t="shared" ref="V140:W140" si="261">AVERAGE(V133:V139)</f>
        <v>0</v>
      </c>
      <c r="W140" s="147">
        <f t="shared" si="261"/>
        <v>0</v>
      </c>
      <c r="X140" s="146">
        <f t="shared" ref="X140" si="262">SUM(X133:X139)</f>
        <v>0</v>
      </c>
      <c r="Y140" s="147">
        <f t="shared" ref="Y140:Z140" si="263">AVERAGE(Y133:Y139)</f>
        <v>0</v>
      </c>
      <c r="Z140" s="147">
        <f t="shared" si="263"/>
        <v>0</v>
      </c>
      <c r="AA140" s="146">
        <f t="shared" ref="AA140" si="264">SUM(AA133:AA139)</f>
        <v>1012.397</v>
      </c>
      <c r="AB140" s="147">
        <f t="shared" ref="AB140:AC140" si="265">AVERAGE(AB133:AB139)</f>
        <v>0.62128571428571433</v>
      </c>
      <c r="AC140" s="147">
        <f t="shared" si="265"/>
        <v>0.20885714285714288</v>
      </c>
      <c r="AD140" s="146">
        <f t="shared" ref="AD140" si="266">SUM(AD133:AD139)</f>
        <v>0</v>
      </c>
      <c r="AE140" s="147">
        <f t="shared" ref="AE140:AF140" si="267">AVERAGE(AE133:AE139)</f>
        <v>0</v>
      </c>
      <c r="AF140" s="147">
        <f t="shared" si="267"/>
        <v>0</v>
      </c>
    </row>
    <row r="141" spans="1:32" x14ac:dyDescent="0.2">
      <c r="B141" s="155"/>
      <c r="C141" s="156"/>
    </row>
  </sheetData>
  <mergeCells count="14">
    <mergeCell ref="R2:T2"/>
    <mergeCell ref="AA2:AC2"/>
    <mergeCell ref="AD2:AF2"/>
    <mergeCell ref="U2:W2"/>
    <mergeCell ref="X2:Z2"/>
    <mergeCell ref="A1:B1"/>
    <mergeCell ref="D1:Q1"/>
    <mergeCell ref="A2:A3"/>
    <mergeCell ref="B2:B3"/>
    <mergeCell ref="C2:E2"/>
    <mergeCell ref="F2:H2"/>
    <mergeCell ref="I2:K2"/>
    <mergeCell ref="L2:N2"/>
    <mergeCell ref="O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F2BD3-C033-AB46-AF92-511910EFBEFD}">
  <dimension ref="A1:L72"/>
  <sheetViews>
    <sheetView workbookViewId="0">
      <selection activeCell="B15" sqref="B15:B17"/>
    </sheetView>
  </sheetViews>
  <sheetFormatPr baseColWidth="10" defaultColWidth="8.83203125" defaultRowHeight="12" x14ac:dyDescent="0.15"/>
  <cols>
    <col min="1" max="1" width="8.83203125" style="8"/>
    <col min="2" max="2" width="17.1640625" style="2" customWidth="1"/>
    <col min="3" max="3" width="11.6640625" style="2" customWidth="1"/>
    <col min="4" max="4" width="8.5" style="2" customWidth="1"/>
    <col min="5" max="5" width="8.1640625" style="2" customWidth="1"/>
    <col min="6" max="7" width="8.33203125" style="2" customWidth="1"/>
    <col min="8" max="8" width="8.1640625" style="2" customWidth="1"/>
    <col min="9" max="9" width="7.33203125" style="8" customWidth="1"/>
    <col min="10" max="10" width="8.33203125" style="2" customWidth="1"/>
    <col min="11" max="11" width="8.83203125" style="2"/>
    <col min="12" max="12" width="9" style="2" customWidth="1"/>
    <col min="13" max="16384" width="8.83203125" style="2"/>
  </cols>
  <sheetData>
    <row r="1" spans="1:12" ht="39" x14ac:dyDescent="0.15">
      <c r="A1" s="519" t="s">
        <v>93</v>
      </c>
      <c r="B1" s="65" t="s">
        <v>31</v>
      </c>
      <c r="C1" s="531" t="s">
        <v>95</v>
      </c>
      <c r="D1" s="12" t="s">
        <v>463</v>
      </c>
      <c r="E1" s="12" t="s">
        <v>464</v>
      </c>
      <c r="F1" s="12" t="s">
        <v>465</v>
      </c>
      <c r="G1" s="12" t="s">
        <v>466</v>
      </c>
      <c r="H1" s="12" t="s">
        <v>455</v>
      </c>
      <c r="I1" s="12" t="s">
        <v>456</v>
      </c>
      <c r="J1" s="12" t="s">
        <v>457</v>
      </c>
      <c r="K1" s="12" t="s">
        <v>458</v>
      </c>
      <c r="L1" s="12" t="s">
        <v>459</v>
      </c>
    </row>
    <row r="2" spans="1:12" ht="20" customHeight="1" x14ac:dyDescent="0.15">
      <c r="A2" s="520"/>
      <c r="B2" s="157"/>
      <c r="C2" s="532"/>
      <c r="D2" s="520" t="s">
        <v>111</v>
      </c>
      <c r="E2" s="533"/>
      <c r="F2" s="533"/>
      <c r="G2" s="533"/>
      <c r="H2" s="533"/>
      <c r="I2" s="533"/>
      <c r="J2" s="533"/>
      <c r="K2" s="533"/>
      <c r="L2" s="533"/>
    </row>
    <row r="3" spans="1:12" ht="13" x14ac:dyDescent="0.15">
      <c r="A3" s="515">
        <v>1</v>
      </c>
      <c r="B3" s="534" t="s">
        <v>709</v>
      </c>
      <c r="C3" s="129" t="s">
        <v>102</v>
      </c>
      <c r="D3" s="130">
        <v>21</v>
      </c>
      <c r="E3" s="130">
        <v>21</v>
      </c>
      <c r="F3" s="130">
        <v>21</v>
      </c>
      <c r="G3" s="130">
        <f>AVERAGE(D3:F3)</f>
        <v>21</v>
      </c>
      <c r="H3" s="130">
        <v>21</v>
      </c>
      <c r="I3" s="131">
        <v>21</v>
      </c>
      <c r="J3" s="131">
        <v>25</v>
      </c>
      <c r="K3" s="131">
        <v>29</v>
      </c>
      <c r="L3" s="131">
        <v>30</v>
      </c>
    </row>
    <row r="4" spans="1:12" ht="13" x14ac:dyDescent="0.15">
      <c r="A4" s="516"/>
      <c r="B4" s="516"/>
      <c r="C4" s="129" t="s">
        <v>103</v>
      </c>
      <c r="D4" s="130">
        <v>0</v>
      </c>
      <c r="E4" s="130">
        <v>0</v>
      </c>
      <c r="F4" s="130">
        <v>0</v>
      </c>
      <c r="G4" s="130">
        <f t="shared" ref="G4:G67" si="0">AVERAGE(D4:F4)</f>
        <v>0</v>
      </c>
      <c r="H4" s="130">
        <v>0</v>
      </c>
      <c r="I4" s="131">
        <v>0</v>
      </c>
      <c r="J4" s="131">
        <v>0</v>
      </c>
      <c r="K4" s="131">
        <v>0</v>
      </c>
      <c r="L4" s="131">
        <v>0</v>
      </c>
    </row>
    <row r="5" spans="1:12" ht="13" x14ac:dyDescent="0.15">
      <c r="A5" s="516"/>
      <c r="B5" s="516"/>
      <c r="C5" s="132" t="s">
        <v>321</v>
      </c>
      <c r="D5" s="130">
        <v>130</v>
      </c>
      <c r="E5" s="130">
        <v>130</v>
      </c>
      <c r="F5" s="130">
        <v>130</v>
      </c>
      <c r="G5" s="130">
        <f t="shared" si="0"/>
        <v>130</v>
      </c>
      <c r="H5" s="130">
        <v>180</v>
      </c>
      <c r="I5" s="131">
        <v>205</v>
      </c>
      <c r="J5" s="131">
        <v>156</v>
      </c>
      <c r="K5" s="131">
        <v>161</v>
      </c>
      <c r="L5" s="131">
        <v>167</v>
      </c>
    </row>
    <row r="6" spans="1:12" ht="13" x14ac:dyDescent="0.15">
      <c r="A6" s="509">
        <v>2</v>
      </c>
      <c r="B6" s="509"/>
      <c r="C6" s="133" t="s">
        <v>102</v>
      </c>
      <c r="D6" s="134">
        <v>132</v>
      </c>
      <c r="E6" s="134">
        <v>135</v>
      </c>
      <c r="F6" s="134">
        <v>135</v>
      </c>
      <c r="G6" s="130">
        <f t="shared" si="0"/>
        <v>134</v>
      </c>
      <c r="H6" s="135">
        <v>140</v>
      </c>
      <c r="I6" s="135">
        <v>140</v>
      </c>
      <c r="J6" s="135">
        <v>140</v>
      </c>
      <c r="K6" s="135">
        <v>140</v>
      </c>
      <c r="L6" s="135">
        <v>140</v>
      </c>
    </row>
    <row r="7" spans="1:12" ht="11.5" customHeight="1" x14ac:dyDescent="0.15">
      <c r="A7" s="510"/>
      <c r="B7" s="510"/>
      <c r="C7" s="133" t="s">
        <v>103</v>
      </c>
      <c r="D7" s="134">
        <v>2750</v>
      </c>
      <c r="E7" s="134">
        <v>2755</v>
      </c>
      <c r="F7" s="134">
        <v>2755</v>
      </c>
      <c r="G7" s="130">
        <f t="shared" si="0"/>
        <v>2753.3333333333335</v>
      </c>
      <c r="H7" s="135">
        <v>2849</v>
      </c>
      <c r="I7" s="135">
        <v>2849</v>
      </c>
      <c r="J7" s="135">
        <v>2849</v>
      </c>
      <c r="K7" s="135">
        <v>2849</v>
      </c>
      <c r="L7" s="135">
        <v>2849</v>
      </c>
    </row>
    <row r="8" spans="1:12" ht="11.5" customHeight="1" x14ac:dyDescent="0.15">
      <c r="A8" s="511"/>
      <c r="B8" s="511"/>
      <c r="C8" s="133" t="s">
        <v>321</v>
      </c>
      <c r="D8" s="134">
        <v>35</v>
      </c>
      <c r="E8" s="134">
        <v>41</v>
      </c>
      <c r="F8" s="134">
        <v>35</v>
      </c>
      <c r="G8" s="130">
        <f t="shared" si="0"/>
        <v>37</v>
      </c>
      <c r="H8" s="135">
        <v>40</v>
      </c>
      <c r="I8" s="135">
        <v>40</v>
      </c>
      <c r="J8" s="135">
        <v>40</v>
      </c>
      <c r="K8" s="135">
        <v>40</v>
      </c>
      <c r="L8" s="135">
        <v>40</v>
      </c>
    </row>
    <row r="9" spans="1:12" ht="11.5" customHeight="1" x14ac:dyDescent="0.15">
      <c r="A9" s="515">
        <v>3</v>
      </c>
      <c r="B9" s="515"/>
      <c r="C9" s="129" t="s">
        <v>102</v>
      </c>
      <c r="D9" s="130">
        <v>101</v>
      </c>
      <c r="E9" s="130">
        <v>85</v>
      </c>
      <c r="F9" s="130">
        <v>69</v>
      </c>
      <c r="G9" s="130">
        <f t="shared" si="0"/>
        <v>85</v>
      </c>
      <c r="H9" s="130">
        <v>171</v>
      </c>
      <c r="I9" s="131">
        <v>171</v>
      </c>
      <c r="J9" s="131">
        <v>197</v>
      </c>
      <c r="K9" s="131">
        <v>198</v>
      </c>
      <c r="L9" s="131">
        <v>178</v>
      </c>
    </row>
    <row r="10" spans="1:12" ht="11.5" customHeight="1" x14ac:dyDescent="0.15">
      <c r="A10" s="516"/>
      <c r="B10" s="516"/>
      <c r="C10" s="129" t="s">
        <v>103</v>
      </c>
      <c r="D10" s="130">
        <v>1542</v>
      </c>
      <c r="E10" s="130">
        <v>1200</v>
      </c>
      <c r="F10" s="130">
        <v>1246</v>
      </c>
      <c r="G10" s="130">
        <f t="shared" si="0"/>
        <v>1329.3333333333333</v>
      </c>
      <c r="H10" s="130">
        <v>1355</v>
      </c>
      <c r="I10" s="131">
        <v>1316</v>
      </c>
      <c r="J10" s="131">
        <v>1246</v>
      </c>
      <c r="K10" s="131">
        <v>1103</v>
      </c>
      <c r="L10" s="131">
        <v>1257</v>
      </c>
    </row>
    <row r="11" spans="1:12" ht="11.5" customHeight="1" x14ac:dyDescent="0.15">
      <c r="A11" s="516"/>
      <c r="B11" s="516"/>
      <c r="C11" s="132" t="s">
        <v>321</v>
      </c>
      <c r="D11" s="130">
        <v>298</v>
      </c>
      <c r="E11" s="130">
        <v>157</v>
      </c>
      <c r="F11" s="130">
        <v>220</v>
      </c>
      <c r="G11" s="130">
        <f t="shared" si="0"/>
        <v>225</v>
      </c>
      <c r="H11" s="130">
        <v>343</v>
      </c>
      <c r="I11" s="131">
        <v>294</v>
      </c>
      <c r="J11" s="131">
        <v>272</v>
      </c>
      <c r="K11" s="131">
        <v>273</v>
      </c>
      <c r="L11" s="131">
        <v>132</v>
      </c>
    </row>
    <row r="12" spans="1:12" ht="13" x14ac:dyDescent="0.15">
      <c r="A12" s="509">
        <v>4</v>
      </c>
      <c r="B12" s="524"/>
      <c r="C12" s="133" t="s">
        <v>102</v>
      </c>
      <c r="D12" s="134">
        <v>275</v>
      </c>
      <c r="E12" s="134">
        <v>280</v>
      </c>
      <c r="F12" s="134">
        <v>275</v>
      </c>
      <c r="G12" s="130">
        <f t="shared" si="0"/>
        <v>276.66666666666669</v>
      </c>
      <c r="H12" s="135">
        <v>301</v>
      </c>
      <c r="I12" s="135">
        <v>301</v>
      </c>
      <c r="J12" s="135">
        <v>301</v>
      </c>
      <c r="K12" s="135">
        <v>301</v>
      </c>
      <c r="L12" s="135">
        <v>301</v>
      </c>
    </row>
    <row r="13" spans="1:12" ht="13" x14ac:dyDescent="0.15">
      <c r="A13" s="510"/>
      <c r="B13" s="525"/>
      <c r="C13" s="133" t="s">
        <v>103</v>
      </c>
      <c r="D13" s="134">
        <v>0</v>
      </c>
      <c r="E13" s="134">
        <v>0</v>
      </c>
      <c r="F13" s="134">
        <v>0</v>
      </c>
      <c r="G13" s="130">
        <f t="shared" si="0"/>
        <v>0</v>
      </c>
      <c r="H13" s="135">
        <v>0</v>
      </c>
      <c r="I13" s="135">
        <v>0</v>
      </c>
      <c r="J13" s="135">
        <v>0</v>
      </c>
      <c r="K13" s="135">
        <v>0</v>
      </c>
      <c r="L13" s="135">
        <v>0</v>
      </c>
    </row>
    <row r="14" spans="1:12" ht="13" x14ac:dyDescent="0.15">
      <c r="A14" s="511"/>
      <c r="B14" s="525"/>
      <c r="C14" s="133" t="s">
        <v>321</v>
      </c>
      <c r="D14" s="134">
        <v>450</v>
      </c>
      <c r="E14" s="134">
        <v>450</v>
      </c>
      <c r="F14" s="134">
        <v>465</v>
      </c>
      <c r="G14" s="130">
        <f t="shared" si="0"/>
        <v>455</v>
      </c>
      <c r="H14" s="135">
        <v>446</v>
      </c>
      <c r="I14" s="135">
        <v>446</v>
      </c>
      <c r="J14" s="135">
        <v>446</v>
      </c>
      <c r="K14" s="135">
        <v>446</v>
      </c>
      <c r="L14" s="135">
        <v>500</v>
      </c>
    </row>
    <row r="15" spans="1:12" ht="13" x14ac:dyDescent="0.15">
      <c r="A15" s="515">
        <v>5</v>
      </c>
      <c r="B15" s="515"/>
      <c r="C15" s="129" t="s">
        <v>102</v>
      </c>
      <c r="D15" s="130">
        <v>176</v>
      </c>
      <c r="E15" s="130">
        <v>170</v>
      </c>
      <c r="F15" s="130">
        <v>177</v>
      </c>
      <c r="G15" s="130">
        <f t="shared" si="0"/>
        <v>174.33333333333334</v>
      </c>
      <c r="H15" s="131">
        <v>181</v>
      </c>
      <c r="I15" s="131">
        <v>181</v>
      </c>
      <c r="J15" s="131">
        <v>181</v>
      </c>
      <c r="K15" s="131">
        <v>181</v>
      </c>
      <c r="L15" s="131">
        <v>181</v>
      </c>
    </row>
    <row r="16" spans="1:12" ht="13" x14ac:dyDescent="0.15">
      <c r="A16" s="516"/>
      <c r="B16" s="516"/>
      <c r="C16" s="129" t="s">
        <v>103</v>
      </c>
      <c r="D16" s="131">
        <v>0</v>
      </c>
      <c r="E16" s="131">
        <v>0</v>
      </c>
      <c r="F16" s="131">
        <v>0</v>
      </c>
      <c r="G16" s="130">
        <f t="shared" si="0"/>
        <v>0</v>
      </c>
      <c r="H16" s="131">
        <v>0</v>
      </c>
      <c r="I16" s="131">
        <v>0</v>
      </c>
      <c r="J16" s="131">
        <v>0</v>
      </c>
      <c r="K16" s="131">
        <v>0</v>
      </c>
      <c r="L16" s="131">
        <v>0</v>
      </c>
    </row>
    <row r="17" spans="1:12" ht="13" x14ac:dyDescent="0.15">
      <c r="A17" s="516"/>
      <c r="B17" s="516"/>
      <c r="C17" s="132" t="s">
        <v>321</v>
      </c>
      <c r="D17" s="131">
        <v>0</v>
      </c>
      <c r="E17" s="131">
        <v>0</v>
      </c>
      <c r="F17" s="131">
        <v>0</v>
      </c>
      <c r="G17" s="130">
        <f t="shared" si="0"/>
        <v>0</v>
      </c>
      <c r="H17" s="131">
        <v>0</v>
      </c>
      <c r="I17" s="131">
        <v>0</v>
      </c>
      <c r="J17" s="131">
        <v>0</v>
      </c>
      <c r="K17" s="131">
        <v>0</v>
      </c>
      <c r="L17" s="131">
        <v>0</v>
      </c>
    </row>
    <row r="18" spans="1:12" ht="13" x14ac:dyDescent="0.15">
      <c r="A18" s="509">
        <v>6</v>
      </c>
      <c r="B18" s="524"/>
      <c r="C18" s="133" t="s">
        <v>102</v>
      </c>
      <c r="D18" s="135">
        <v>0</v>
      </c>
      <c r="E18" s="135">
        <v>0</v>
      </c>
      <c r="F18" s="135">
        <v>0</v>
      </c>
      <c r="G18" s="130">
        <f t="shared" si="0"/>
        <v>0</v>
      </c>
      <c r="H18" s="135">
        <v>0</v>
      </c>
      <c r="I18" s="135">
        <v>0</v>
      </c>
      <c r="J18" s="135">
        <v>0</v>
      </c>
      <c r="K18" s="135">
        <v>0</v>
      </c>
      <c r="L18" s="135">
        <v>0</v>
      </c>
    </row>
    <row r="19" spans="1:12" ht="13" x14ac:dyDescent="0.15">
      <c r="A19" s="510"/>
      <c r="B19" s="525"/>
      <c r="C19" s="133" t="s">
        <v>103</v>
      </c>
      <c r="D19" s="135">
        <v>0</v>
      </c>
      <c r="E19" s="135">
        <v>0</v>
      </c>
      <c r="F19" s="135">
        <v>0</v>
      </c>
      <c r="G19" s="130">
        <f t="shared" si="0"/>
        <v>0</v>
      </c>
      <c r="H19" s="135">
        <v>0</v>
      </c>
      <c r="I19" s="135">
        <v>0</v>
      </c>
      <c r="J19" s="135">
        <v>0</v>
      </c>
      <c r="K19" s="135">
        <v>0</v>
      </c>
      <c r="L19" s="135">
        <v>0</v>
      </c>
    </row>
    <row r="20" spans="1:12" ht="13" x14ac:dyDescent="0.15">
      <c r="A20" s="511"/>
      <c r="B20" s="525"/>
      <c r="C20" s="133" t="s">
        <v>321</v>
      </c>
      <c r="D20" s="134">
        <v>477</v>
      </c>
      <c r="E20" s="134">
        <v>477</v>
      </c>
      <c r="F20" s="134">
        <v>538</v>
      </c>
      <c r="G20" s="130">
        <f t="shared" si="0"/>
        <v>497.33333333333331</v>
      </c>
      <c r="H20" s="135">
        <v>504</v>
      </c>
      <c r="I20" s="135">
        <v>663</v>
      </c>
      <c r="J20" s="135">
        <v>742</v>
      </c>
      <c r="K20" s="135">
        <v>505</v>
      </c>
      <c r="L20" s="135">
        <v>559</v>
      </c>
    </row>
    <row r="21" spans="1:12" ht="13" x14ac:dyDescent="0.15">
      <c r="A21" s="515">
        <v>7</v>
      </c>
      <c r="B21" s="515"/>
      <c r="C21" s="129" t="s">
        <v>102</v>
      </c>
      <c r="D21" s="130">
        <v>1460</v>
      </c>
      <c r="E21" s="130">
        <v>1550</v>
      </c>
      <c r="F21" s="130">
        <v>1500</v>
      </c>
      <c r="G21" s="130">
        <f t="shared" si="0"/>
        <v>1503.3333333333333</v>
      </c>
      <c r="H21" s="131">
        <v>1470</v>
      </c>
      <c r="I21" s="131">
        <v>1470</v>
      </c>
      <c r="J21" s="131">
        <v>1520</v>
      </c>
      <c r="K21" s="131">
        <v>1560</v>
      </c>
      <c r="L21" s="131">
        <v>1560</v>
      </c>
    </row>
    <row r="22" spans="1:12" ht="13" x14ac:dyDescent="0.15">
      <c r="A22" s="516"/>
      <c r="B22" s="516"/>
      <c r="C22" s="129" t="s">
        <v>103</v>
      </c>
      <c r="D22" s="130">
        <v>187</v>
      </c>
      <c r="E22" s="130">
        <v>187</v>
      </c>
      <c r="F22" s="130">
        <v>196</v>
      </c>
      <c r="G22" s="130">
        <f t="shared" si="0"/>
        <v>190</v>
      </c>
      <c r="H22" s="131">
        <v>200</v>
      </c>
      <c r="I22" s="131">
        <v>205</v>
      </c>
      <c r="J22" s="131">
        <v>225</v>
      </c>
      <c r="K22" s="131">
        <v>225</v>
      </c>
      <c r="L22" s="131">
        <v>225</v>
      </c>
    </row>
    <row r="23" spans="1:12" ht="13" x14ac:dyDescent="0.15">
      <c r="A23" s="516"/>
      <c r="B23" s="516"/>
      <c r="C23" s="132" t="s">
        <v>321</v>
      </c>
      <c r="D23" s="130">
        <v>0</v>
      </c>
      <c r="E23" s="130">
        <v>0</v>
      </c>
      <c r="F23" s="130">
        <v>0</v>
      </c>
      <c r="G23" s="130">
        <f t="shared" si="0"/>
        <v>0</v>
      </c>
      <c r="H23" s="131">
        <v>0</v>
      </c>
      <c r="I23" s="131">
        <v>0</v>
      </c>
      <c r="J23" s="131">
        <v>0</v>
      </c>
      <c r="K23" s="131">
        <v>0</v>
      </c>
      <c r="L23" s="131">
        <v>0</v>
      </c>
    </row>
    <row r="24" spans="1:12" ht="13" x14ac:dyDescent="0.15">
      <c r="A24" s="509">
        <v>8</v>
      </c>
      <c r="B24" s="524"/>
      <c r="C24" s="133" t="s">
        <v>102</v>
      </c>
      <c r="D24" s="134">
        <v>190</v>
      </c>
      <c r="E24" s="134">
        <v>190</v>
      </c>
      <c r="F24" s="134">
        <v>190</v>
      </c>
      <c r="G24" s="130">
        <f t="shared" si="0"/>
        <v>190</v>
      </c>
      <c r="H24" s="135">
        <v>150</v>
      </c>
      <c r="I24" s="135">
        <v>150</v>
      </c>
      <c r="J24" s="135">
        <v>150</v>
      </c>
      <c r="K24" s="135">
        <v>150</v>
      </c>
      <c r="L24" s="135">
        <v>180</v>
      </c>
    </row>
    <row r="25" spans="1:12" ht="13" x14ac:dyDescent="0.15">
      <c r="A25" s="510"/>
      <c r="B25" s="525"/>
      <c r="C25" s="133" t="s">
        <v>103</v>
      </c>
      <c r="D25" s="135">
        <v>0</v>
      </c>
      <c r="E25" s="135">
        <v>0</v>
      </c>
      <c r="F25" s="135">
        <v>0</v>
      </c>
      <c r="G25" s="130">
        <f t="shared" si="0"/>
        <v>0</v>
      </c>
      <c r="H25" s="135">
        <v>0</v>
      </c>
      <c r="I25" s="135">
        <v>0</v>
      </c>
      <c r="J25" s="135">
        <v>0</v>
      </c>
      <c r="K25" s="135">
        <v>0</v>
      </c>
      <c r="L25" s="135">
        <v>0</v>
      </c>
    </row>
    <row r="26" spans="1:12" ht="13" x14ac:dyDescent="0.15">
      <c r="A26" s="511"/>
      <c r="B26" s="525"/>
      <c r="C26" s="133" t="s">
        <v>321</v>
      </c>
      <c r="D26" s="135">
        <v>0</v>
      </c>
      <c r="E26" s="135">
        <v>0</v>
      </c>
      <c r="F26" s="135">
        <v>0</v>
      </c>
      <c r="G26" s="130">
        <f t="shared" si="0"/>
        <v>0</v>
      </c>
      <c r="H26" s="135">
        <v>0</v>
      </c>
      <c r="I26" s="135">
        <v>0</v>
      </c>
      <c r="J26" s="135">
        <v>0</v>
      </c>
      <c r="K26" s="135">
        <v>0</v>
      </c>
      <c r="L26" s="135">
        <v>0</v>
      </c>
    </row>
    <row r="27" spans="1:12" ht="13" x14ac:dyDescent="0.15">
      <c r="A27" s="515">
        <v>9</v>
      </c>
      <c r="B27" s="515"/>
      <c r="C27" s="129" t="s">
        <v>102</v>
      </c>
      <c r="D27" s="130">
        <v>65</v>
      </c>
      <c r="E27" s="130">
        <v>100</v>
      </c>
      <c r="F27" s="130">
        <v>110</v>
      </c>
      <c r="G27" s="130">
        <v>91.666666666666671</v>
      </c>
      <c r="H27" s="131">
        <v>118</v>
      </c>
      <c r="I27" s="131">
        <v>120</v>
      </c>
      <c r="J27" s="131">
        <v>125</v>
      </c>
      <c r="K27" s="131">
        <v>128</v>
      </c>
      <c r="L27" s="131">
        <v>132</v>
      </c>
    </row>
    <row r="28" spans="1:12" ht="13" x14ac:dyDescent="0.15">
      <c r="A28" s="516"/>
      <c r="B28" s="516"/>
      <c r="C28" s="129" t="s">
        <v>103</v>
      </c>
      <c r="D28" s="130">
        <v>2175</v>
      </c>
      <c r="E28" s="130">
        <v>2186</v>
      </c>
      <c r="F28" s="130">
        <v>2000</v>
      </c>
      <c r="G28" s="130">
        <v>2120.3333333333335</v>
      </c>
      <c r="H28" s="131">
        <v>2215</v>
      </c>
      <c r="I28" s="131">
        <v>2215</v>
      </c>
      <c r="J28" s="131">
        <v>2215</v>
      </c>
      <c r="K28" s="131">
        <v>2215</v>
      </c>
      <c r="L28" s="131">
        <v>2215</v>
      </c>
    </row>
    <row r="29" spans="1:12" ht="13" x14ac:dyDescent="0.15">
      <c r="A29" s="516"/>
      <c r="B29" s="516"/>
      <c r="C29" s="132" t="s">
        <v>321</v>
      </c>
      <c r="D29" s="130">
        <v>0</v>
      </c>
      <c r="E29" s="130">
        <v>0</v>
      </c>
      <c r="F29" s="130">
        <v>0</v>
      </c>
      <c r="G29" s="130">
        <f t="shared" si="0"/>
        <v>0</v>
      </c>
      <c r="H29" s="131">
        <v>0</v>
      </c>
      <c r="I29" s="131">
        <v>0</v>
      </c>
      <c r="J29" s="131">
        <v>0</v>
      </c>
      <c r="K29" s="131">
        <v>0</v>
      </c>
      <c r="L29" s="131">
        <v>0</v>
      </c>
    </row>
    <row r="30" spans="1:12" ht="13" x14ac:dyDescent="0.15">
      <c r="A30" s="509">
        <v>10</v>
      </c>
      <c r="B30" s="524"/>
      <c r="C30" s="133" t="s">
        <v>102</v>
      </c>
      <c r="D30" s="134">
        <v>42</v>
      </c>
      <c r="E30" s="134">
        <v>48</v>
      </c>
      <c r="F30" s="134">
        <v>45</v>
      </c>
      <c r="G30" s="130">
        <f t="shared" si="0"/>
        <v>45</v>
      </c>
      <c r="H30" s="135">
        <v>51</v>
      </c>
      <c r="I30" s="135">
        <v>51</v>
      </c>
      <c r="J30" s="135">
        <v>51</v>
      </c>
      <c r="K30" s="135">
        <v>51</v>
      </c>
      <c r="L30" s="135">
        <v>62</v>
      </c>
    </row>
    <row r="31" spans="1:12" ht="13" x14ac:dyDescent="0.15">
      <c r="A31" s="510"/>
      <c r="B31" s="525"/>
      <c r="C31" s="133" t="s">
        <v>103</v>
      </c>
      <c r="D31" s="134">
        <v>405</v>
      </c>
      <c r="E31" s="134">
        <v>410</v>
      </c>
      <c r="F31" s="134">
        <v>400</v>
      </c>
      <c r="G31" s="130">
        <f t="shared" si="0"/>
        <v>405</v>
      </c>
      <c r="H31" s="135">
        <v>432</v>
      </c>
      <c r="I31" s="135">
        <v>432</v>
      </c>
      <c r="J31" s="135">
        <v>432</v>
      </c>
      <c r="K31" s="135">
        <v>432</v>
      </c>
      <c r="L31" s="135">
        <v>432</v>
      </c>
    </row>
    <row r="32" spans="1:12" ht="11.5" customHeight="1" x14ac:dyDescent="0.15">
      <c r="A32" s="511"/>
      <c r="B32" s="525"/>
      <c r="C32" s="133" t="s">
        <v>321</v>
      </c>
      <c r="D32" s="134">
        <v>450</v>
      </c>
      <c r="E32" s="134">
        <v>432</v>
      </c>
      <c r="F32" s="134">
        <v>450</v>
      </c>
      <c r="G32" s="130">
        <f t="shared" si="0"/>
        <v>444</v>
      </c>
      <c r="H32" s="135">
        <v>469</v>
      </c>
      <c r="I32" s="135">
        <v>469</v>
      </c>
      <c r="J32" s="135">
        <v>469</v>
      </c>
      <c r="K32" s="135">
        <v>469</v>
      </c>
      <c r="L32" s="135">
        <v>469</v>
      </c>
    </row>
    <row r="33" spans="1:12" ht="11.5" customHeight="1" x14ac:dyDescent="0.15">
      <c r="A33" s="515">
        <v>11</v>
      </c>
      <c r="B33" s="515"/>
      <c r="C33" s="129" t="s">
        <v>102</v>
      </c>
      <c r="D33" s="130">
        <v>249</v>
      </c>
      <c r="E33" s="130">
        <v>106</v>
      </c>
      <c r="F33" s="130">
        <v>68</v>
      </c>
      <c r="G33" s="130">
        <v>141</v>
      </c>
      <c r="H33" s="131">
        <v>79</v>
      </c>
      <c r="I33" s="131">
        <v>49</v>
      </c>
      <c r="J33" s="131">
        <v>48</v>
      </c>
      <c r="K33" s="131">
        <v>45</v>
      </c>
      <c r="L33" s="131">
        <v>129</v>
      </c>
    </row>
    <row r="34" spans="1:12" ht="13" x14ac:dyDescent="0.15">
      <c r="A34" s="516"/>
      <c r="B34" s="516"/>
      <c r="C34" s="129" t="s">
        <v>103</v>
      </c>
      <c r="D34" s="130">
        <v>2079</v>
      </c>
      <c r="E34" s="130">
        <v>2324</v>
      </c>
      <c r="F34" s="130">
        <v>2547</v>
      </c>
      <c r="G34" s="130">
        <v>2316.6666666666665</v>
      </c>
      <c r="H34" s="131">
        <v>2096</v>
      </c>
      <c r="I34" s="131">
        <v>2144</v>
      </c>
      <c r="J34" s="131">
        <v>2587</v>
      </c>
      <c r="K34" s="131">
        <v>2570</v>
      </c>
      <c r="L34" s="131">
        <v>2404</v>
      </c>
    </row>
    <row r="35" spans="1:12" ht="13" x14ac:dyDescent="0.15">
      <c r="A35" s="516"/>
      <c r="B35" s="516"/>
      <c r="C35" s="132" t="s">
        <v>321</v>
      </c>
      <c r="D35" s="130">
        <v>1241</v>
      </c>
      <c r="E35" s="130">
        <v>1851</v>
      </c>
      <c r="F35" s="130">
        <v>1456</v>
      </c>
      <c r="G35" s="130">
        <v>1516</v>
      </c>
      <c r="H35" s="131">
        <v>1256</v>
      </c>
      <c r="I35" s="131">
        <v>1190</v>
      </c>
      <c r="J35" s="131">
        <v>1585</v>
      </c>
      <c r="K35" s="131">
        <v>1158</v>
      </c>
      <c r="L35" s="131">
        <v>1122</v>
      </c>
    </row>
    <row r="36" spans="1:12" ht="13" x14ac:dyDescent="0.15">
      <c r="A36" s="509">
        <v>12</v>
      </c>
      <c r="B36" s="524"/>
      <c r="C36" s="133" t="s">
        <v>102</v>
      </c>
      <c r="D36" s="134">
        <v>830</v>
      </c>
      <c r="E36" s="134">
        <v>830</v>
      </c>
      <c r="F36" s="134">
        <v>750</v>
      </c>
      <c r="G36" s="130">
        <f t="shared" si="0"/>
        <v>803.33333333333337</v>
      </c>
      <c r="H36" s="135">
        <v>900</v>
      </c>
      <c r="I36" s="135">
        <v>950</v>
      </c>
      <c r="J36" s="135">
        <v>1000</v>
      </c>
      <c r="K36" s="135">
        <v>1000</v>
      </c>
      <c r="L36" s="135">
        <v>1000</v>
      </c>
    </row>
    <row r="37" spans="1:12" ht="13" x14ac:dyDescent="0.15">
      <c r="A37" s="510"/>
      <c r="B37" s="525"/>
      <c r="C37" s="133" t="s">
        <v>103</v>
      </c>
      <c r="D37" s="134">
        <v>1480</v>
      </c>
      <c r="E37" s="134">
        <v>1480</v>
      </c>
      <c r="F37" s="134">
        <v>1459</v>
      </c>
      <c r="G37" s="130">
        <f t="shared" si="0"/>
        <v>1473</v>
      </c>
      <c r="H37" s="135">
        <v>1550</v>
      </c>
      <c r="I37" s="135">
        <v>1550</v>
      </c>
      <c r="J37" s="135">
        <v>1550</v>
      </c>
      <c r="K37" s="135">
        <v>1550</v>
      </c>
      <c r="L37" s="135">
        <v>1550</v>
      </c>
    </row>
    <row r="38" spans="1:12" ht="13" x14ac:dyDescent="0.15">
      <c r="A38" s="511"/>
      <c r="B38" s="525"/>
      <c r="C38" s="133" t="s">
        <v>321</v>
      </c>
      <c r="D38" s="134">
        <v>0</v>
      </c>
      <c r="E38" s="134">
        <v>0</v>
      </c>
      <c r="F38" s="134">
        <v>0</v>
      </c>
      <c r="G38" s="130">
        <f t="shared" si="0"/>
        <v>0</v>
      </c>
      <c r="H38" s="135">
        <v>0</v>
      </c>
      <c r="I38" s="135">
        <v>0</v>
      </c>
      <c r="J38" s="135">
        <v>0</v>
      </c>
      <c r="K38" s="135">
        <v>0</v>
      </c>
      <c r="L38" s="135">
        <v>0</v>
      </c>
    </row>
    <row r="39" spans="1:12" ht="13" x14ac:dyDescent="0.15">
      <c r="A39" s="515">
        <v>13</v>
      </c>
      <c r="B39" s="515"/>
      <c r="C39" s="129" t="s">
        <v>102</v>
      </c>
      <c r="D39" s="130">
        <v>538</v>
      </c>
      <c r="E39" s="130">
        <v>498</v>
      </c>
      <c r="F39" s="130">
        <v>569</v>
      </c>
      <c r="G39" s="130">
        <f t="shared" si="0"/>
        <v>535</v>
      </c>
      <c r="H39" s="130">
        <v>386</v>
      </c>
      <c r="I39" s="131">
        <v>379</v>
      </c>
      <c r="J39" s="131">
        <v>316</v>
      </c>
      <c r="K39" s="131">
        <v>324</v>
      </c>
      <c r="L39" s="131">
        <v>350</v>
      </c>
    </row>
    <row r="40" spans="1:12" ht="13" x14ac:dyDescent="0.15">
      <c r="A40" s="516"/>
      <c r="B40" s="516"/>
      <c r="C40" s="129" t="s">
        <v>103</v>
      </c>
      <c r="D40" s="130">
        <v>5678</v>
      </c>
      <c r="E40" s="130">
        <v>5678</v>
      </c>
      <c r="F40" s="130">
        <v>5678</v>
      </c>
      <c r="G40" s="130">
        <f t="shared" si="0"/>
        <v>5678</v>
      </c>
      <c r="H40" s="130">
        <v>4731</v>
      </c>
      <c r="I40" s="131">
        <v>4707</v>
      </c>
      <c r="J40" s="131">
        <v>4846</v>
      </c>
      <c r="K40" s="131">
        <v>5222</v>
      </c>
      <c r="L40" s="131">
        <v>5500</v>
      </c>
    </row>
    <row r="41" spans="1:12" ht="13" x14ac:dyDescent="0.15">
      <c r="A41" s="516"/>
      <c r="B41" s="516"/>
      <c r="C41" s="132" t="s">
        <v>321</v>
      </c>
      <c r="D41" s="130">
        <v>98</v>
      </c>
      <c r="E41" s="130">
        <v>98</v>
      </c>
      <c r="F41" s="130">
        <v>98</v>
      </c>
      <c r="G41" s="130">
        <f t="shared" si="0"/>
        <v>98</v>
      </c>
      <c r="H41" s="130">
        <v>150</v>
      </c>
      <c r="I41" s="131">
        <v>150</v>
      </c>
      <c r="J41" s="131">
        <v>150</v>
      </c>
      <c r="K41" s="131">
        <v>150</v>
      </c>
      <c r="L41" s="131">
        <v>10</v>
      </c>
    </row>
    <row r="42" spans="1:12" ht="13" x14ac:dyDescent="0.15">
      <c r="A42" s="509">
        <v>14</v>
      </c>
      <c r="B42" s="524"/>
      <c r="C42" s="133" t="s">
        <v>102</v>
      </c>
      <c r="D42" s="136">
        <v>500</v>
      </c>
      <c r="E42" s="134">
        <v>450</v>
      </c>
      <c r="F42" s="134">
        <v>200</v>
      </c>
      <c r="G42" s="130">
        <f t="shared" si="0"/>
        <v>383.33333333333331</v>
      </c>
      <c r="H42" s="134">
        <v>168</v>
      </c>
      <c r="I42" s="135">
        <v>437</v>
      </c>
      <c r="J42" s="135">
        <v>317</v>
      </c>
      <c r="K42" s="135">
        <v>389</v>
      </c>
      <c r="L42" s="135">
        <v>572</v>
      </c>
    </row>
    <row r="43" spans="1:12" ht="11.5" customHeight="1" x14ac:dyDescent="0.15">
      <c r="A43" s="510"/>
      <c r="B43" s="525"/>
      <c r="C43" s="133" t="s">
        <v>103</v>
      </c>
      <c r="D43" s="136">
        <v>3500</v>
      </c>
      <c r="E43" s="134">
        <v>3500</v>
      </c>
      <c r="F43" s="134">
        <v>1672</v>
      </c>
      <c r="G43" s="130">
        <f t="shared" si="0"/>
        <v>2890.6666666666665</v>
      </c>
      <c r="H43" s="134">
        <v>1741</v>
      </c>
      <c r="I43" s="135">
        <v>2281</v>
      </c>
      <c r="J43" s="135">
        <v>2235</v>
      </c>
      <c r="K43" s="135">
        <v>3114</v>
      </c>
      <c r="L43" s="135">
        <v>3255</v>
      </c>
    </row>
    <row r="44" spans="1:12" ht="11.5" customHeight="1" x14ac:dyDescent="0.15">
      <c r="A44" s="511"/>
      <c r="B44" s="525"/>
      <c r="C44" s="133" t="s">
        <v>321</v>
      </c>
      <c r="D44" s="136">
        <v>0</v>
      </c>
      <c r="E44" s="134">
        <v>0</v>
      </c>
      <c r="F44" s="134">
        <v>0</v>
      </c>
      <c r="G44" s="130">
        <f t="shared" si="0"/>
        <v>0</v>
      </c>
      <c r="H44" s="134">
        <v>0</v>
      </c>
      <c r="I44" s="135">
        <v>0</v>
      </c>
      <c r="J44" s="135">
        <v>0</v>
      </c>
      <c r="K44" s="135">
        <v>0</v>
      </c>
      <c r="L44" s="135">
        <v>0</v>
      </c>
    </row>
    <row r="45" spans="1:12" ht="13" x14ac:dyDescent="0.15">
      <c r="A45" s="515">
        <v>15</v>
      </c>
      <c r="B45" s="515"/>
      <c r="C45" s="129" t="s">
        <v>102</v>
      </c>
      <c r="D45" s="130">
        <v>35</v>
      </c>
      <c r="E45" s="130">
        <v>35</v>
      </c>
      <c r="F45" s="130">
        <v>25</v>
      </c>
      <c r="G45" s="130">
        <f t="shared" si="0"/>
        <v>31.666666666666668</v>
      </c>
      <c r="H45" s="130">
        <v>21</v>
      </c>
      <c r="I45" s="131">
        <v>21</v>
      </c>
      <c r="J45" s="131">
        <v>25</v>
      </c>
      <c r="K45" s="131">
        <v>29</v>
      </c>
      <c r="L45" s="131">
        <v>30</v>
      </c>
    </row>
    <row r="46" spans="1:12" ht="13" x14ac:dyDescent="0.15">
      <c r="A46" s="516"/>
      <c r="B46" s="516"/>
      <c r="C46" s="129" t="s">
        <v>103</v>
      </c>
      <c r="D46" s="130">
        <v>0</v>
      </c>
      <c r="E46" s="130">
        <v>0</v>
      </c>
      <c r="F46" s="130">
        <v>0</v>
      </c>
      <c r="G46" s="130">
        <f t="shared" si="0"/>
        <v>0</v>
      </c>
      <c r="H46" s="130">
        <v>0</v>
      </c>
      <c r="I46" s="131">
        <v>0</v>
      </c>
      <c r="J46" s="131">
        <v>0</v>
      </c>
      <c r="K46" s="131">
        <v>0</v>
      </c>
      <c r="L46" s="131">
        <v>0</v>
      </c>
    </row>
    <row r="47" spans="1:12" ht="13" x14ac:dyDescent="0.15">
      <c r="A47" s="516"/>
      <c r="B47" s="516"/>
      <c r="C47" s="132" t="s">
        <v>321</v>
      </c>
      <c r="D47" s="130">
        <v>200</v>
      </c>
      <c r="E47" s="130">
        <v>200</v>
      </c>
      <c r="F47" s="130">
        <v>150</v>
      </c>
      <c r="G47" s="130">
        <f t="shared" si="0"/>
        <v>183.33333333333334</v>
      </c>
      <c r="H47" s="130">
        <v>180</v>
      </c>
      <c r="I47" s="131">
        <v>205</v>
      </c>
      <c r="J47" s="131">
        <v>156</v>
      </c>
      <c r="K47" s="131">
        <v>161</v>
      </c>
      <c r="L47" s="131">
        <v>167</v>
      </c>
    </row>
    <row r="48" spans="1:12" ht="13" x14ac:dyDescent="0.15">
      <c r="A48" s="509">
        <v>16</v>
      </c>
      <c r="B48" s="524"/>
      <c r="C48" s="133" t="s">
        <v>102</v>
      </c>
      <c r="D48" s="134">
        <v>373</v>
      </c>
      <c r="E48" s="134">
        <v>367</v>
      </c>
      <c r="F48" s="134">
        <v>379</v>
      </c>
      <c r="G48" s="130">
        <v>373</v>
      </c>
      <c r="H48" s="135">
        <v>386</v>
      </c>
      <c r="I48" s="135">
        <v>379</v>
      </c>
      <c r="J48" s="135">
        <v>316</v>
      </c>
      <c r="K48" s="135">
        <v>324</v>
      </c>
      <c r="L48" s="135">
        <v>350</v>
      </c>
    </row>
    <row r="49" spans="1:12" ht="13" x14ac:dyDescent="0.15">
      <c r="A49" s="510"/>
      <c r="B49" s="525"/>
      <c r="C49" s="133" t="s">
        <v>103</v>
      </c>
      <c r="D49" s="134">
        <v>4973</v>
      </c>
      <c r="E49" s="134">
        <v>5192</v>
      </c>
      <c r="F49" s="134">
        <v>5105</v>
      </c>
      <c r="G49" s="130">
        <v>5090</v>
      </c>
      <c r="H49" s="135">
        <v>4731</v>
      </c>
      <c r="I49" s="135">
        <v>4707</v>
      </c>
      <c r="J49" s="135">
        <v>4846</v>
      </c>
      <c r="K49" s="135">
        <v>5222</v>
      </c>
      <c r="L49" s="135">
        <v>5500</v>
      </c>
    </row>
    <row r="50" spans="1:12" ht="13" x14ac:dyDescent="0.15">
      <c r="A50" s="511"/>
      <c r="B50" s="525"/>
      <c r="C50" s="133" t="s">
        <v>321</v>
      </c>
      <c r="D50" s="134">
        <v>150</v>
      </c>
      <c r="E50" s="134">
        <v>150</v>
      </c>
      <c r="F50" s="134">
        <v>150</v>
      </c>
      <c r="G50" s="130">
        <v>150</v>
      </c>
      <c r="H50" s="135">
        <v>150</v>
      </c>
      <c r="I50" s="135">
        <v>150</v>
      </c>
      <c r="J50" s="135">
        <v>150</v>
      </c>
      <c r="K50" s="135">
        <v>150</v>
      </c>
      <c r="L50" s="135">
        <v>150</v>
      </c>
    </row>
    <row r="51" spans="1:12" ht="13" x14ac:dyDescent="0.15">
      <c r="A51" s="515">
        <v>17</v>
      </c>
      <c r="B51" s="515"/>
      <c r="C51" s="129" t="s">
        <v>102</v>
      </c>
      <c r="D51" s="130">
        <v>21</v>
      </c>
      <c r="E51" s="130">
        <v>21</v>
      </c>
      <c r="F51" s="130">
        <v>25</v>
      </c>
      <c r="G51" s="130">
        <f t="shared" si="0"/>
        <v>22.333333333333332</v>
      </c>
      <c r="H51" s="130">
        <v>21</v>
      </c>
      <c r="I51" s="131">
        <v>21</v>
      </c>
      <c r="J51" s="131">
        <v>25</v>
      </c>
      <c r="K51" s="131">
        <v>29</v>
      </c>
      <c r="L51" s="131">
        <v>30</v>
      </c>
    </row>
    <row r="52" spans="1:12" ht="13" x14ac:dyDescent="0.15">
      <c r="A52" s="516"/>
      <c r="B52" s="516"/>
      <c r="C52" s="129" t="s">
        <v>103</v>
      </c>
      <c r="D52" s="130">
        <v>0</v>
      </c>
      <c r="E52" s="130">
        <v>0</v>
      </c>
      <c r="F52" s="130">
        <v>0</v>
      </c>
      <c r="G52" s="130">
        <f t="shared" si="0"/>
        <v>0</v>
      </c>
      <c r="H52" s="130">
        <v>0</v>
      </c>
      <c r="I52" s="131">
        <v>0</v>
      </c>
      <c r="J52" s="131">
        <v>0</v>
      </c>
      <c r="K52" s="131">
        <v>0</v>
      </c>
      <c r="L52" s="131">
        <v>0</v>
      </c>
    </row>
    <row r="53" spans="1:12" ht="13" x14ac:dyDescent="0.15">
      <c r="A53" s="516"/>
      <c r="B53" s="516"/>
      <c r="C53" s="132" t="s">
        <v>321</v>
      </c>
      <c r="D53" s="130">
        <v>180</v>
      </c>
      <c r="E53" s="130">
        <v>205</v>
      </c>
      <c r="F53" s="130">
        <v>156</v>
      </c>
      <c r="G53" s="130">
        <f t="shared" si="0"/>
        <v>180.33333333333334</v>
      </c>
      <c r="H53" s="130">
        <v>180</v>
      </c>
      <c r="I53" s="131">
        <v>205</v>
      </c>
      <c r="J53" s="131">
        <v>156</v>
      </c>
      <c r="K53" s="131">
        <v>161</v>
      </c>
      <c r="L53" s="131">
        <v>167</v>
      </c>
    </row>
    <row r="54" spans="1:12" ht="13" x14ac:dyDescent="0.15">
      <c r="A54" s="509">
        <v>18</v>
      </c>
      <c r="B54" s="524"/>
      <c r="C54" s="133" t="s">
        <v>102</v>
      </c>
      <c r="D54" s="134">
        <v>5200</v>
      </c>
      <c r="E54" s="134">
        <v>5400</v>
      </c>
      <c r="F54" s="134">
        <v>5000</v>
      </c>
      <c r="G54" s="130">
        <f t="shared" si="0"/>
        <v>5200</v>
      </c>
      <c r="H54" s="135">
        <v>5714</v>
      </c>
      <c r="I54" s="135">
        <v>5714</v>
      </c>
      <c r="J54" s="135">
        <v>5714</v>
      </c>
      <c r="K54" s="135">
        <v>5714</v>
      </c>
      <c r="L54" s="135">
        <v>5714</v>
      </c>
    </row>
    <row r="55" spans="1:12" ht="13" x14ac:dyDescent="0.15">
      <c r="A55" s="510"/>
      <c r="B55" s="525"/>
      <c r="C55" s="133" t="s">
        <v>103</v>
      </c>
      <c r="D55" s="134">
        <v>180</v>
      </c>
      <c r="E55" s="134">
        <v>188</v>
      </c>
      <c r="F55" s="134">
        <v>170</v>
      </c>
      <c r="G55" s="130">
        <f t="shared" si="0"/>
        <v>179.33333333333334</v>
      </c>
      <c r="H55" s="135">
        <v>200</v>
      </c>
      <c r="I55" s="135">
        <v>200</v>
      </c>
      <c r="J55" s="135">
        <v>200</v>
      </c>
      <c r="K55" s="135">
        <v>200</v>
      </c>
      <c r="L55" s="135">
        <v>200</v>
      </c>
    </row>
    <row r="56" spans="1:12" ht="13" x14ac:dyDescent="0.15">
      <c r="A56" s="511"/>
      <c r="B56" s="525"/>
      <c r="C56" s="133" t="s">
        <v>321</v>
      </c>
      <c r="D56" s="134">
        <v>0</v>
      </c>
      <c r="E56" s="134">
        <v>0</v>
      </c>
      <c r="F56" s="134">
        <v>0</v>
      </c>
      <c r="G56" s="130">
        <f t="shared" si="0"/>
        <v>0</v>
      </c>
      <c r="H56" s="135">
        <v>0</v>
      </c>
      <c r="I56" s="135">
        <v>0</v>
      </c>
      <c r="J56" s="135">
        <v>0</v>
      </c>
      <c r="K56" s="135">
        <v>0</v>
      </c>
      <c r="L56" s="135">
        <v>0</v>
      </c>
    </row>
    <row r="57" spans="1:12" ht="13" x14ac:dyDescent="0.15">
      <c r="A57" s="515">
        <v>19</v>
      </c>
      <c r="B57" s="515"/>
      <c r="C57" s="129" t="s">
        <v>102</v>
      </c>
      <c r="D57" s="130">
        <v>5200</v>
      </c>
      <c r="E57" s="130">
        <v>5400</v>
      </c>
      <c r="F57" s="130">
        <v>5000</v>
      </c>
      <c r="G57" s="130">
        <f t="shared" si="0"/>
        <v>5200</v>
      </c>
      <c r="H57" s="131">
        <v>5714</v>
      </c>
      <c r="I57" s="131">
        <v>5714</v>
      </c>
      <c r="J57" s="131">
        <v>5714</v>
      </c>
      <c r="K57" s="131">
        <v>5714</v>
      </c>
      <c r="L57" s="131">
        <v>5714</v>
      </c>
    </row>
    <row r="58" spans="1:12" ht="13" x14ac:dyDescent="0.15">
      <c r="A58" s="516"/>
      <c r="B58" s="516"/>
      <c r="C58" s="129" t="s">
        <v>103</v>
      </c>
      <c r="D58" s="130">
        <v>180</v>
      </c>
      <c r="E58" s="130">
        <v>188</v>
      </c>
      <c r="F58" s="130">
        <v>170</v>
      </c>
      <c r="G58" s="130">
        <f t="shared" si="0"/>
        <v>179.33333333333334</v>
      </c>
      <c r="H58" s="131">
        <v>200</v>
      </c>
      <c r="I58" s="131">
        <v>200</v>
      </c>
      <c r="J58" s="131">
        <v>200</v>
      </c>
      <c r="K58" s="131">
        <v>200</v>
      </c>
      <c r="L58" s="131">
        <v>200</v>
      </c>
    </row>
    <row r="59" spans="1:12" ht="13" x14ac:dyDescent="0.15">
      <c r="A59" s="516"/>
      <c r="B59" s="516"/>
      <c r="C59" s="132" t="s">
        <v>321</v>
      </c>
      <c r="D59" s="130">
        <v>0</v>
      </c>
      <c r="E59" s="130">
        <v>0</v>
      </c>
      <c r="F59" s="130">
        <v>0</v>
      </c>
      <c r="G59" s="130">
        <f t="shared" si="0"/>
        <v>0</v>
      </c>
      <c r="H59" s="131">
        <v>0</v>
      </c>
      <c r="I59" s="131">
        <v>0</v>
      </c>
      <c r="J59" s="131">
        <v>0</v>
      </c>
      <c r="K59" s="131">
        <v>0</v>
      </c>
      <c r="L59" s="131">
        <v>0</v>
      </c>
    </row>
    <row r="60" spans="1:12" ht="13" x14ac:dyDescent="0.15">
      <c r="A60" s="509">
        <v>20</v>
      </c>
      <c r="B60" s="524"/>
      <c r="C60" s="133" t="s">
        <v>102</v>
      </c>
      <c r="D60" s="134">
        <v>488</v>
      </c>
      <c r="E60" s="134">
        <v>492</v>
      </c>
      <c r="F60" s="134">
        <v>475</v>
      </c>
      <c r="G60" s="130">
        <f t="shared" si="0"/>
        <v>485</v>
      </c>
      <c r="H60" s="135">
        <v>558</v>
      </c>
      <c r="I60" s="135">
        <v>558</v>
      </c>
      <c r="J60" s="135">
        <v>558</v>
      </c>
      <c r="K60" s="135">
        <v>558</v>
      </c>
      <c r="L60" s="135">
        <v>558</v>
      </c>
    </row>
    <row r="61" spans="1:12" ht="13" x14ac:dyDescent="0.15">
      <c r="A61" s="510"/>
      <c r="B61" s="525"/>
      <c r="C61" s="133" t="s">
        <v>103</v>
      </c>
      <c r="D61" s="134">
        <v>5500</v>
      </c>
      <c r="E61" s="134">
        <v>5500</v>
      </c>
      <c r="F61" s="134">
        <v>5400</v>
      </c>
      <c r="G61" s="130">
        <f t="shared" si="0"/>
        <v>5466.666666666667</v>
      </c>
      <c r="H61" s="135">
        <v>5678</v>
      </c>
      <c r="I61" s="135">
        <v>5678</v>
      </c>
      <c r="J61" s="135">
        <v>5678</v>
      </c>
      <c r="K61" s="135">
        <v>5678</v>
      </c>
      <c r="L61" s="135">
        <v>5678</v>
      </c>
    </row>
    <row r="62" spans="1:12" ht="13" x14ac:dyDescent="0.15">
      <c r="A62" s="511"/>
      <c r="B62" s="525"/>
      <c r="C62" s="133" t="s">
        <v>321</v>
      </c>
      <c r="D62" s="134">
        <v>76</v>
      </c>
      <c r="E62" s="134">
        <v>78</v>
      </c>
      <c r="F62" s="134">
        <v>78</v>
      </c>
      <c r="G62" s="130">
        <f t="shared" si="0"/>
        <v>77.333333333333329</v>
      </c>
      <c r="H62" s="135">
        <v>98</v>
      </c>
      <c r="I62" s="135">
        <v>98</v>
      </c>
      <c r="J62" s="135">
        <v>98</v>
      </c>
      <c r="K62" s="135">
        <v>98</v>
      </c>
      <c r="L62" s="135">
        <v>98</v>
      </c>
    </row>
    <row r="63" spans="1:12" ht="13" x14ac:dyDescent="0.15">
      <c r="A63" s="515">
        <v>21</v>
      </c>
      <c r="B63" s="515"/>
      <c r="C63" s="129" t="s">
        <v>102</v>
      </c>
      <c r="D63" s="130">
        <v>355</v>
      </c>
      <c r="E63" s="130">
        <v>355</v>
      </c>
      <c r="F63" s="130">
        <v>355</v>
      </c>
      <c r="G63" s="130">
        <f t="shared" si="0"/>
        <v>355</v>
      </c>
      <c r="H63" s="131">
        <v>390</v>
      </c>
      <c r="I63" s="131">
        <v>390</v>
      </c>
      <c r="J63" s="131">
        <v>390</v>
      </c>
      <c r="K63" s="131">
        <v>390</v>
      </c>
      <c r="L63" s="131">
        <v>390</v>
      </c>
    </row>
    <row r="64" spans="1:12" ht="13" x14ac:dyDescent="0.15">
      <c r="A64" s="516"/>
      <c r="B64" s="516"/>
      <c r="C64" s="129" t="s">
        <v>103</v>
      </c>
      <c r="D64" s="130">
        <v>0</v>
      </c>
      <c r="E64" s="130">
        <v>0</v>
      </c>
      <c r="F64" s="130">
        <v>0</v>
      </c>
      <c r="G64" s="130">
        <f t="shared" si="0"/>
        <v>0</v>
      </c>
      <c r="H64" s="131">
        <v>0</v>
      </c>
      <c r="I64" s="131">
        <v>0</v>
      </c>
      <c r="J64" s="131">
        <v>0</v>
      </c>
      <c r="K64" s="131">
        <v>0</v>
      </c>
      <c r="L64" s="131">
        <v>0</v>
      </c>
    </row>
    <row r="65" spans="1:12" ht="13" x14ac:dyDescent="0.15">
      <c r="A65" s="516"/>
      <c r="B65" s="516"/>
      <c r="C65" s="132" t="s">
        <v>321</v>
      </c>
      <c r="D65" s="130">
        <v>0</v>
      </c>
      <c r="E65" s="130">
        <v>0</v>
      </c>
      <c r="F65" s="130">
        <v>0</v>
      </c>
      <c r="G65" s="130">
        <f t="shared" si="0"/>
        <v>0</v>
      </c>
      <c r="H65" s="131">
        <v>0</v>
      </c>
      <c r="I65" s="131">
        <v>0</v>
      </c>
      <c r="J65" s="131">
        <v>0</v>
      </c>
      <c r="K65" s="131">
        <v>0</v>
      </c>
      <c r="L65" s="131">
        <v>0</v>
      </c>
    </row>
    <row r="66" spans="1:12" ht="13" x14ac:dyDescent="0.15">
      <c r="A66" s="509">
        <v>22</v>
      </c>
      <c r="B66" s="524"/>
      <c r="C66" s="133" t="s">
        <v>102</v>
      </c>
      <c r="D66" s="134">
        <v>538</v>
      </c>
      <c r="E66" s="134">
        <v>571</v>
      </c>
      <c r="F66" s="134">
        <v>458</v>
      </c>
      <c r="G66" s="130">
        <f t="shared" si="0"/>
        <v>522.33333333333337</v>
      </c>
      <c r="H66" s="134">
        <v>558</v>
      </c>
      <c r="I66" s="135">
        <v>558</v>
      </c>
      <c r="J66" s="135">
        <v>558</v>
      </c>
      <c r="K66" s="135">
        <v>558</v>
      </c>
      <c r="L66" s="135">
        <v>558</v>
      </c>
    </row>
    <row r="67" spans="1:12" ht="13" x14ac:dyDescent="0.15">
      <c r="A67" s="510"/>
      <c r="B67" s="525"/>
      <c r="C67" s="133" t="s">
        <v>103</v>
      </c>
      <c r="D67" s="134">
        <v>5078</v>
      </c>
      <c r="E67" s="134">
        <v>5178</v>
      </c>
      <c r="F67" s="134">
        <v>5678</v>
      </c>
      <c r="G67" s="130">
        <f t="shared" si="0"/>
        <v>5311.333333333333</v>
      </c>
      <c r="H67" s="134">
        <v>5678</v>
      </c>
      <c r="I67" s="135">
        <v>5678</v>
      </c>
      <c r="J67" s="135">
        <v>5678</v>
      </c>
      <c r="K67" s="135">
        <v>5678</v>
      </c>
      <c r="L67" s="135">
        <v>5678</v>
      </c>
    </row>
    <row r="68" spans="1:12" ht="13" x14ac:dyDescent="0.15">
      <c r="A68" s="511"/>
      <c r="B68" s="525"/>
      <c r="C68" s="133" t="s">
        <v>321</v>
      </c>
      <c r="D68" s="134">
        <v>76</v>
      </c>
      <c r="E68" s="134">
        <v>102</v>
      </c>
      <c r="F68" s="134">
        <v>98</v>
      </c>
      <c r="G68" s="130">
        <f t="shared" ref="G68" si="1">AVERAGE(D68:F68)</f>
        <v>92</v>
      </c>
      <c r="H68" s="134">
        <v>98</v>
      </c>
      <c r="I68" s="135">
        <v>98</v>
      </c>
      <c r="J68" s="135">
        <v>98</v>
      </c>
      <c r="K68" s="135">
        <v>98</v>
      </c>
      <c r="L68" s="135">
        <v>98</v>
      </c>
    </row>
    <row r="69" spans="1:12" x14ac:dyDescent="0.15">
      <c r="A69" s="2"/>
      <c r="I69" s="2"/>
    </row>
    <row r="70" spans="1:12" ht="13" x14ac:dyDescent="0.15">
      <c r="F70" s="133" t="s">
        <v>102</v>
      </c>
      <c r="G70" s="2">
        <f>G3+G6+G9+G12+G15+G18+G21+G24+G27+G30+G33+G36+G39+G42+G45+G48+G51+G54+G57+G60+G63+G66</f>
        <v>16573</v>
      </c>
      <c r="H70" s="2">
        <f t="shared" ref="H70:L70" si="2">H3+H6+H9+H12+H15+H18+H21+H24+H27+H30+H33+H36+H39+H42+H45+H48+H51+H54+H57+H60+H63+H66</f>
        <v>17498</v>
      </c>
      <c r="I70" s="2">
        <f t="shared" si="2"/>
        <v>17775</v>
      </c>
      <c r="J70" s="2">
        <f t="shared" si="2"/>
        <v>17671</v>
      </c>
      <c r="K70" s="2">
        <f t="shared" si="2"/>
        <v>17812</v>
      </c>
      <c r="L70" s="2">
        <f t="shared" si="2"/>
        <v>18159</v>
      </c>
    </row>
    <row r="71" spans="1:12" ht="13" x14ac:dyDescent="0.15">
      <c r="F71" s="133" t="s">
        <v>103</v>
      </c>
      <c r="G71" s="2">
        <f t="shared" ref="G71:L72" si="3">G4+G7+G10+G13+G16+G19+G22+G25+G28+G31+G34+G37+G40+G43+G46+G49+G52+G55+G58+G61+G64+G67</f>
        <v>35383</v>
      </c>
      <c r="H71" s="2">
        <f t="shared" si="3"/>
        <v>33656</v>
      </c>
      <c r="I71" s="2">
        <f t="shared" si="3"/>
        <v>34162</v>
      </c>
      <c r="J71" s="2">
        <f t="shared" si="3"/>
        <v>34787</v>
      </c>
      <c r="K71" s="2">
        <f t="shared" si="3"/>
        <v>36258</v>
      </c>
      <c r="L71" s="2">
        <f t="shared" si="3"/>
        <v>36943</v>
      </c>
    </row>
    <row r="72" spans="1:12" ht="13" x14ac:dyDescent="0.15">
      <c r="F72" s="133" t="s">
        <v>321</v>
      </c>
      <c r="G72" s="2">
        <f t="shared" si="3"/>
        <v>4085.3333333333335</v>
      </c>
      <c r="H72" s="2">
        <f t="shared" si="3"/>
        <v>4094</v>
      </c>
      <c r="I72" s="2">
        <f t="shared" si="3"/>
        <v>4213</v>
      </c>
      <c r="J72" s="2">
        <f t="shared" si="3"/>
        <v>4518</v>
      </c>
      <c r="K72" s="2">
        <f t="shared" si="3"/>
        <v>3870</v>
      </c>
      <c r="L72" s="2">
        <f t="shared" si="3"/>
        <v>3679</v>
      </c>
    </row>
  </sheetData>
  <mergeCells count="47">
    <mergeCell ref="A66:A68"/>
    <mergeCell ref="B66:B68"/>
    <mergeCell ref="A60:A62"/>
    <mergeCell ref="B60:B62"/>
    <mergeCell ref="A63:A65"/>
    <mergeCell ref="B63:B65"/>
    <mergeCell ref="A51:A53"/>
    <mergeCell ref="B51:B53"/>
    <mergeCell ref="A54:A56"/>
    <mergeCell ref="B54:B56"/>
    <mergeCell ref="A57:A59"/>
    <mergeCell ref="B57:B59"/>
    <mergeCell ref="A42:A44"/>
    <mergeCell ref="B42:B44"/>
    <mergeCell ref="A45:A47"/>
    <mergeCell ref="B45:B47"/>
    <mergeCell ref="A48:A50"/>
    <mergeCell ref="B48:B50"/>
    <mergeCell ref="A33:A35"/>
    <mergeCell ref="B33:B35"/>
    <mergeCell ref="A36:A38"/>
    <mergeCell ref="B36:B38"/>
    <mergeCell ref="A39:A41"/>
    <mergeCell ref="B39:B41"/>
    <mergeCell ref="A24:A26"/>
    <mergeCell ref="B24:B26"/>
    <mergeCell ref="A27:A29"/>
    <mergeCell ref="B27:B29"/>
    <mergeCell ref="A30:A32"/>
    <mergeCell ref="B30:B32"/>
    <mergeCell ref="A15:A17"/>
    <mergeCell ref="B15:B17"/>
    <mergeCell ref="A18:A20"/>
    <mergeCell ref="B18:B20"/>
    <mergeCell ref="A21:A23"/>
    <mergeCell ref="B21:B23"/>
    <mergeCell ref="A6:A8"/>
    <mergeCell ref="B6:B8"/>
    <mergeCell ref="A9:A11"/>
    <mergeCell ref="B9:B11"/>
    <mergeCell ref="A12:A14"/>
    <mergeCell ref="B12:B14"/>
    <mergeCell ref="A1:A2"/>
    <mergeCell ref="C1:C2"/>
    <mergeCell ref="D2:L2"/>
    <mergeCell ref="A3:A5"/>
    <mergeCell ref="B3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A641A-7CA3-184B-A23C-EBB23CAD3833}">
  <dimension ref="A1:P1028"/>
  <sheetViews>
    <sheetView workbookViewId="0">
      <selection activeCell="B20" sqref="B20:B23"/>
    </sheetView>
  </sheetViews>
  <sheetFormatPr baseColWidth="10" defaultColWidth="8.83203125" defaultRowHeight="15" x14ac:dyDescent="0.2"/>
  <cols>
    <col min="2" max="2" width="20.6640625" customWidth="1"/>
    <col min="3" max="3" width="12.83203125" customWidth="1"/>
    <col min="5" max="5" width="14" customWidth="1"/>
    <col min="6" max="6" width="29.83203125" customWidth="1"/>
    <col min="7" max="7" width="13.1640625" customWidth="1"/>
    <col min="8" max="8" width="16.1640625" customWidth="1"/>
    <col min="9" max="9" width="13" customWidth="1"/>
    <col min="10" max="11" width="16.83203125" customWidth="1"/>
    <col min="12" max="12" width="28.83203125" customWidth="1"/>
  </cols>
  <sheetData>
    <row r="1" spans="1:16" ht="28" customHeight="1" x14ac:dyDescent="0.2">
      <c r="A1" s="499" t="s">
        <v>8</v>
      </c>
      <c r="B1" s="499" t="s">
        <v>169</v>
      </c>
      <c r="C1" s="499" t="s">
        <v>31</v>
      </c>
      <c r="D1" s="499" t="s">
        <v>32</v>
      </c>
      <c r="E1" s="158" t="s">
        <v>503</v>
      </c>
      <c r="F1" s="158" t="s">
        <v>494</v>
      </c>
      <c r="G1" s="158" t="s">
        <v>495</v>
      </c>
      <c r="H1" s="151" t="s">
        <v>496</v>
      </c>
      <c r="I1" s="151" t="s">
        <v>205</v>
      </c>
      <c r="J1" s="159" t="s">
        <v>497</v>
      </c>
      <c r="K1" s="160" t="s">
        <v>498</v>
      </c>
      <c r="L1" s="161"/>
    </row>
    <row r="2" spans="1:16" x14ac:dyDescent="0.2">
      <c r="A2" s="500"/>
      <c r="B2" s="500"/>
      <c r="C2" s="500"/>
      <c r="D2" s="500"/>
      <c r="E2" s="162" t="s">
        <v>499</v>
      </c>
      <c r="F2" s="55"/>
      <c r="G2" s="10"/>
      <c r="H2" s="38" t="s">
        <v>500</v>
      </c>
      <c r="I2" s="159" t="s">
        <v>501</v>
      </c>
      <c r="J2" s="159"/>
      <c r="K2" s="163"/>
      <c r="L2" s="81"/>
    </row>
    <row r="3" spans="1:16" x14ac:dyDescent="0.2">
      <c r="A3" s="500">
        <v>1</v>
      </c>
      <c r="B3" s="500" t="s">
        <v>709</v>
      </c>
      <c r="C3" s="500" t="s">
        <v>709</v>
      </c>
      <c r="D3" s="500" t="s">
        <v>34</v>
      </c>
      <c r="E3" s="535">
        <f>Assumptions!D61</f>
        <v>183.761</v>
      </c>
      <c r="F3" s="56" t="s">
        <v>292</v>
      </c>
      <c r="G3" s="164">
        <v>44.480570711691286</v>
      </c>
      <c r="H3" s="38">
        <v>67.733958569599579</v>
      </c>
      <c r="I3" s="116">
        <f>EXP(-1.996+2.32*LN(H3))</f>
        <v>2402.2554988543247</v>
      </c>
      <c r="J3" s="116">
        <f t="shared" ref="J3:J34" si="0">(I3*G3)/1000</f>
        <v>106.85369558433902</v>
      </c>
      <c r="K3" s="165">
        <f t="shared" ref="K3:K34" si="1">0.00000001*3.14*(H3/2)^2*G3</f>
        <v>1.6019646306019669E-3</v>
      </c>
      <c r="L3" s="81"/>
      <c r="O3" s="166"/>
      <c r="P3" s="87"/>
    </row>
    <row r="4" spans="1:16" x14ac:dyDescent="0.2">
      <c r="A4" s="500"/>
      <c r="B4" s="500"/>
      <c r="C4" s="500"/>
      <c r="D4" s="500"/>
      <c r="E4" s="535"/>
      <c r="F4" s="56" t="s">
        <v>293</v>
      </c>
      <c r="G4" s="167">
        <v>89.29107648725892</v>
      </c>
      <c r="H4" s="38">
        <v>50.870732369699276</v>
      </c>
      <c r="I4" s="116">
        <f t="shared" ref="I4:I67" si="2">EXP(-1.996+2.32*LN(H4))</f>
        <v>1236.3856365507881</v>
      </c>
      <c r="J4" s="116">
        <f t="shared" si="0"/>
        <v>110.39820444100474</v>
      </c>
      <c r="K4" s="165">
        <f t="shared" si="1"/>
        <v>1.8139014823589724E-3</v>
      </c>
      <c r="L4" s="81"/>
      <c r="O4" s="11"/>
      <c r="P4" s="87"/>
    </row>
    <row r="5" spans="1:16" x14ac:dyDescent="0.2">
      <c r="A5" s="500"/>
      <c r="B5" s="500"/>
      <c r="C5" s="500"/>
      <c r="D5" s="500"/>
      <c r="E5" s="535"/>
      <c r="F5" s="56" t="s">
        <v>294</v>
      </c>
      <c r="G5" s="164">
        <v>759.86706090657344</v>
      </c>
      <c r="H5" s="38">
        <v>46.654925819724198</v>
      </c>
      <c r="I5" s="116">
        <f t="shared" si="2"/>
        <v>1011.5571441613552</v>
      </c>
      <c r="J5" s="116">
        <f t="shared" si="0"/>
        <v>768.64895407293602</v>
      </c>
      <c r="K5" s="165">
        <f t="shared" si="1"/>
        <v>1.2983813903711469E-2</v>
      </c>
      <c r="L5" s="81"/>
      <c r="O5" s="166"/>
      <c r="P5" s="87"/>
    </row>
    <row r="6" spans="1:16" x14ac:dyDescent="0.2">
      <c r="A6" s="500"/>
      <c r="B6" s="500"/>
      <c r="C6" s="500"/>
      <c r="D6" s="500"/>
      <c r="E6" s="535"/>
      <c r="F6" s="56" t="s">
        <v>295</v>
      </c>
      <c r="G6" s="168">
        <v>178.87978989614211</v>
      </c>
      <c r="H6" s="38">
        <v>69.982388729586305</v>
      </c>
      <c r="I6" s="116">
        <f t="shared" si="2"/>
        <v>2591.3265377100511</v>
      </c>
      <c r="J6" s="116">
        <f t="shared" si="0"/>
        <v>463.53594661787133</v>
      </c>
      <c r="K6" s="165">
        <f t="shared" si="1"/>
        <v>6.877149373793124E-3</v>
      </c>
      <c r="L6" s="81"/>
      <c r="O6" s="169"/>
      <c r="P6" s="87"/>
    </row>
    <row r="7" spans="1:16" x14ac:dyDescent="0.2">
      <c r="A7" s="500"/>
      <c r="B7" s="500"/>
      <c r="C7" s="500"/>
      <c r="D7" s="500"/>
      <c r="E7" s="535"/>
      <c r="F7" s="56" t="s">
        <v>296</v>
      </c>
      <c r="G7" s="168">
        <v>89.29107648725892</v>
      </c>
      <c r="H7" s="38">
        <v>71.668711349576313</v>
      </c>
      <c r="I7" s="116">
        <f t="shared" si="2"/>
        <v>2738.5008244078417</v>
      </c>
      <c r="J7" s="116">
        <f t="shared" si="0"/>
        <v>244.52368657262221</v>
      </c>
      <c r="K7" s="165">
        <f t="shared" si="1"/>
        <v>3.6002852138332809E-3</v>
      </c>
      <c r="L7" s="165"/>
      <c r="O7" s="169"/>
      <c r="P7" s="87"/>
    </row>
    <row r="8" spans="1:16" x14ac:dyDescent="0.2">
      <c r="A8" s="500"/>
      <c r="B8" s="500"/>
      <c r="C8" s="500"/>
      <c r="D8" s="500"/>
      <c r="E8" s="535"/>
      <c r="F8" s="56" t="s">
        <v>297</v>
      </c>
      <c r="G8" s="168">
        <v>44.347901322005271</v>
      </c>
      <c r="H8" s="38">
        <v>60.145506779644435</v>
      </c>
      <c r="I8" s="116">
        <f t="shared" si="2"/>
        <v>1823.4741522561847</v>
      </c>
      <c r="J8" s="116">
        <f t="shared" si="0"/>
        <v>80.86725176748449</v>
      </c>
      <c r="K8" s="165">
        <f t="shared" si="1"/>
        <v>1.2593577129951883E-3</v>
      </c>
      <c r="L8" s="81"/>
      <c r="O8" s="169"/>
      <c r="P8" s="87"/>
    </row>
    <row r="9" spans="1:16" x14ac:dyDescent="0.2">
      <c r="A9" s="500"/>
      <c r="B9" s="500"/>
      <c r="C9" s="500"/>
      <c r="D9" s="500"/>
      <c r="E9" s="535"/>
      <c r="F9" s="56" t="s">
        <v>298</v>
      </c>
      <c r="G9" s="168">
        <v>89.29107648725892</v>
      </c>
      <c r="H9" s="38">
        <v>52.276001219690961</v>
      </c>
      <c r="I9" s="116">
        <f t="shared" si="2"/>
        <v>1317.0725183490235</v>
      </c>
      <c r="J9" s="116">
        <f t="shared" si="0"/>
        <v>117.60282297516939</v>
      </c>
      <c r="K9" s="165">
        <f t="shared" si="1"/>
        <v>1.9155012265709528E-3</v>
      </c>
      <c r="L9" s="81"/>
      <c r="O9" s="169"/>
      <c r="P9" s="87"/>
    </row>
    <row r="10" spans="1:16" x14ac:dyDescent="0.2">
      <c r="A10" s="500"/>
      <c r="B10" s="500"/>
      <c r="C10" s="500"/>
      <c r="D10" s="500"/>
      <c r="E10" s="535"/>
      <c r="F10" s="56" t="s">
        <v>299</v>
      </c>
      <c r="G10" s="168">
        <v>44.943175165253663</v>
      </c>
      <c r="H10" s="38">
        <v>48.060194669715884</v>
      </c>
      <c r="I10" s="116">
        <f t="shared" si="2"/>
        <v>1083.6539877868022</v>
      </c>
      <c r="J10" s="116">
        <f t="shared" si="0"/>
        <v>48.702850991627905</v>
      </c>
      <c r="K10" s="165">
        <f t="shared" si="1"/>
        <v>8.1490026556927081E-4</v>
      </c>
      <c r="L10" s="81"/>
      <c r="O10" s="169"/>
      <c r="P10" s="87"/>
    </row>
    <row r="11" spans="1:16" x14ac:dyDescent="0.2">
      <c r="A11" s="500"/>
      <c r="B11" s="500"/>
      <c r="C11" s="500"/>
      <c r="D11" s="500"/>
      <c r="E11" s="535"/>
      <c r="F11" s="56" t="s">
        <v>300</v>
      </c>
      <c r="G11" s="168">
        <v>536.04409584517782</v>
      </c>
      <c r="H11" s="38">
        <v>52.557054989689298</v>
      </c>
      <c r="I11" s="116">
        <f t="shared" si="2"/>
        <v>1333.5588459601404</v>
      </c>
      <c r="J11" s="116">
        <f t="shared" si="0"/>
        <v>714.84634583904221</v>
      </c>
      <c r="K11" s="165">
        <f t="shared" si="1"/>
        <v>1.1623374134574262E-2</v>
      </c>
      <c r="L11" s="81"/>
      <c r="O11" s="169"/>
      <c r="P11" s="87"/>
    </row>
    <row r="12" spans="1:16" x14ac:dyDescent="0.2">
      <c r="A12" s="500"/>
      <c r="B12" s="500"/>
      <c r="C12" s="500"/>
      <c r="D12" s="500"/>
      <c r="E12" s="535"/>
      <c r="F12" s="56" t="s">
        <v>301</v>
      </c>
      <c r="G12" s="168">
        <v>88.993439565634731</v>
      </c>
      <c r="H12" s="38">
        <v>102.02251850939687</v>
      </c>
      <c r="I12" s="116">
        <f t="shared" si="2"/>
        <v>6213.3100732835128</v>
      </c>
      <c r="J12" s="116">
        <f t="shared" si="0"/>
        <v>552.94383450930582</v>
      </c>
      <c r="K12" s="165">
        <f t="shared" si="1"/>
        <v>7.2714283593560275E-3</v>
      </c>
      <c r="L12" s="81"/>
      <c r="O12" s="169"/>
      <c r="P12" s="87"/>
    </row>
    <row r="13" spans="1:16" x14ac:dyDescent="0.2">
      <c r="A13" s="500"/>
      <c r="B13" s="500"/>
      <c r="C13" s="500"/>
      <c r="D13" s="500"/>
      <c r="E13" s="535"/>
      <c r="F13" s="56" t="s">
        <v>302</v>
      </c>
      <c r="G13" s="168">
        <v>312.81640462703041</v>
      </c>
      <c r="H13" s="38">
        <v>106.80043259936863</v>
      </c>
      <c r="I13" s="116">
        <f t="shared" si="2"/>
        <v>6909.3565020065962</v>
      </c>
      <c r="J13" s="116">
        <f t="shared" si="0"/>
        <v>2161.3600592440985</v>
      </c>
      <c r="K13" s="165">
        <f t="shared" si="1"/>
        <v>2.8009489955467363E-2</v>
      </c>
      <c r="L13" s="81"/>
      <c r="O13" s="169"/>
      <c r="P13" s="87"/>
    </row>
    <row r="14" spans="1:16" x14ac:dyDescent="0.2">
      <c r="A14" s="500"/>
      <c r="B14" s="500"/>
      <c r="C14" s="500"/>
      <c r="D14" s="500"/>
      <c r="E14" s="535"/>
      <c r="F14" s="56" t="s">
        <v>303</v>
      </c>
      <c r="G14" s="168">
        <v>401.51220727104101</v>
      </c>
      <c r="H14" s="38">
        <v>105.6762175193753</v>
      </c>
      <c r="I14" s="116">
        <f t="shared" si="2"/>
        <v>6741.7936802276126</v>
      </c>
      <c r="J14" s="116">
        <f t="shared" si="0"/>
        <v>2706.9124615141436</v>
      </c>
      <c r="K14" s="165">
        <f t="shared" si="1"/>
        <v>3.5198400682061592E-2</v>
      </c>
      <c r="L14" s="81"/>
      <c r="O14" s="169"/>
      <c r="P14" s="87"/>
    </row>
    <row r="15" spans="1:16" x14ac:dyDescent="0.2">
      <c r="A15" s="500"/>
      <c r="B15" s="500"/>
      <c r="C15" s="500"/>
      <c r="D15" s="500"/>
      <c r="E15" s="535"/>
      <c r="F15" s="56" t="s">
        <v>304</v>
      </c>
      <c r="G15" s="168">
        <v>44.347901322005271</v>
      </c>
      <c r="H15" s="38">
        <v>84.878238539498241</v>
      </c>
      <c r="I15" s="116">
        <f t="shared" si="2"/>
        <v>4054.672345962425</v>
      </c>
      <c r="J15" s="116">
        <f t="shared" si="0"/>
        <v>179.81620909180523</v>
      </c>
      <c r="K15" s="165">
        <f t="shared" si="1"/>
        <v>2.5080456995373659E-3</v>
      </c>
      <c r="L15" s="81"/>
      <c r="O15" s="169"/>
      <c r="P15" s="87"/>
    </row>
    <row r="16" spans="1:16" x14ac:dyDescent="0.2">
      <c r="A16" s="500">
        <v>2</v>
      </c>
      <c r="B16" s="500"/>
      <c r="C16" s="500"/>
      <c r="D16" s="500" t="s">
        <v>35</v>
      </c>
      <c r="E16" s="535">
        <f>Assumptions!D62</f>
        <v>6772.8780000000015</v>
      </c>
      <c r="F16" s="55" t="s">
        <v>173</v>
      </c>
      <c r="G16" s="167">
        <v>74.111593484424915</v>
      </c>
      <c r="H16" s="10">
        <v>98.368819499418478</v>
      </c>
      <c r="I16" s="116">
        <f t="shared" si="2"/>
        <v>5709.2297515509681</v>
      </c>
      <c r="J16" s="116">
        <f t="shared" si="0"/>
        <v>423.12011445612961</v>
      </c>
      <c r="K16" s="165">
        <f t="shared" si="1"/>
        <v>5.6295117126720336E-3</v>
      </c>
      <c r="O16" s="11"/>
      <c r="P16" s="87"/>
    </row>
    <row r="17" spans="1:16" x14ac:dyDescent="0.2">
      <c r="A17" s="500"/>
      <c r="B17" s="501"/>
      <c r="C17" s="501"/>
      <c r="D17" s="501"/>
      <c r="E17" s="535"/>
      <c r="F17" s="55" t="s">
        <v>170</v>
      </c>
      <c r="G17" s="167">
        <v>149.1160977337224</v>
      </c>
      <c r="H17" s="10">
        <v>67.452904799601242</v>
      </c>
      <c r="I17" s="116">
        <f t="shared" si="2"/>
        <v>2379.1933547782751</v>
      </c>
      <c r="J17" s="116">
        <f t="shared" si="0"/>
        <v>354.77602881854017</v>
      </c>
      <c r="K17" s="165">
        <f t="shared" si="1"/>
        <v>5.3259305696124731E-3</v>
      </c>
      <c r="O17" s="11"/>
      <c r="P17" s="87"/>
    </row>
    <row r="18" spans="1:16" x14ac:dyDescent="0.2">
      <c r="A18" s="500"/>
      <c r="B18" s="501"/>
      <c r="C18" s="501"/>
      <c r="D18" s="501"/>
      <c r="E18" s="535"/>
      <c r="F18" s="55" t="s">
        <v>171</v>
      </c>
      <c r="G18" s="167">
        <v>669.68307365444207</v>
      </c>
      <c r="H18" s="10">
        <v>92.747744099451694</v>
      </c>
      <c r="I18" s="116">
        <f t="shared" si="2"/>
        <v>4980.7185105989201</v>
      </c>
      <c r="J18" s="116">
        <f t="shared" si="0"/>
        <v>3335.5028811854595</v>
      </c>
      <c r="K18" s="165">
        <f t="shared" si="1"/>
        <v>4.5221575523234636E-2</v>
      </c>
      <c r="O18" s="11"/>
      <c r="P18" s="87"/>
    </row>
    <row r="19" spans="1:16" x14ac:dyDescent="0.2">
      <c r="A19" s="500"/>
      <c r="B19" s="501"/>
      <c r="C19" s="501"/>
      <c r="D19" s="501"/>
      <c r="E19" s="535"/>
      <c r="F19" s="55" t="s">
        <v>172</v>
      </c>
      <c r="G19" s="167">
        <v>379.48707507085049</v>
      </c>
      <c r="H19" s="10">
        <v>106.80043259936863</v>
      </c>
      <c r="I19" s="116">
        <f t="shared" si="2"/>
        <v>6909.3565020065962</v>
      </c>
      <c r="J19" s="116">
        <f t="shared" si="0"/>
        <v>2622.0114895682459</v>
      </c>
      <c r="K19" s="165">
        <f t="shared" si="1"/>
        <v>3.3979162410295811E-2</v>
      </c>
      <c r="L19" s="81"/>
      <c r="O19" s="11"/>
      <c r="P19" s="87"/>
    </row>
    <row r="20" spans="1:16" x14ac:dyDescent="0.2">
      <c r="A20" s="500">
        <v>3</v>
      </c>
      <c r="B20" s="501"/>
      <c r="C20" s="501"/>
      <c r="D20" s="501" t="s">
        <v>35</v>
      </c>
      <c r="E20" s="535">
        <f>Assumptions!D63</f>
        <v>4319.8270000000002</v>
      </c>
      <c r="F20" s="55" t="s">
        <v>174</v>
      </c>
      <c r="G20" s="167">
        <v>89.29107648725892</v>
      </c>
      <c r="H20" s="10">
        <v>206.57452094877877</v>
      </c>
      <c r="I20" s="116">
        <f t="shared" si="2"/>
        <v>31924.660248704567</v>
      </c>
      <c r="J20" s="116">
        <f t="shared" si="0"/>
        <v>2850.5872800968341</v>
      </c>
      <c r="K20" s="165">
        <f t="shared" si="1"/>
        <v>2.9911020063715248E-2</v>
      </c>
      <c r="O20" s="11"/>
      <c r="P20" s="87"/>
    </row>
    <row r="21" spans="1:16" x14ac:dyDescent="0.2">
      <c r="A21" s="500"/>
      <c r="B21" s="501"/>
      <c r="C21" s="501"/>
      <c r="D21" s="501"/>
      <c r="E21" s="535"/>
      <c r="F21" s="55" t="s">
        <v>175</v>
      </c>
      <c r="G21" s="167">
        <v>44.64553824362946</v>
      </c>
      <c r="H21" s="10">
        <v>50.589678599700932</v>
      </c>
      <c r="I21" s="116">
        <f t="shared" si="2"/>
        <v>1220.5957943745968</v>
      </c>
      <c r="J21" s="116">
        <f t="shared" si="0"/>
        <v>54.494156217764342</v>
      </c>
      <c r="K21" s="165">
        <f t="shared" si="1"/>
        <v>8.9695686988234007E-4</v>
      </c>
      <c r="O21" s="11"/>
      <c r="P21" s="87"/>
    </row>
    <row r="22" spans="1:16" x14ac:dyDescent="0.2">
      <c r="A22" s="500"/>
      <c r="B22" s="501"/>
      <c r="C22" s="501"/>
      <c r="D22" s="501"/>
      <c r="E22" s="535"/>
      <c r="F22" s="55" t="s">
        <v>176</v>
      </c>
      <c r="G22" s="167">
        <v>44.64553824362946</v>
      </c>
      <c r="H22" s="10">
        <v>252.94839299850466</v>
      </c>
      <c r="I22" s="116">
        <f t="shared" si="2"/>
        <v>51071.931083626609</v>
      </c>
      <c r="J22" s="116">
        <f t="shared" si="0"/>
        <v>2280.1338523700601</v>
      </c>
      <c r="K22" s="165">
        <f t="shared" si="1"/>
        <v>2.2423921747058501E-2</v>
      </c>
      <c r="O22" s="11"/>
      <c r="P22" s="87"/>
    </row>
    <row r="23" spans="1:16" x14ac:dyDescent="0.2">
      <c r="A23" s="500"/>
      <c r="B23" s="501"/>
      <c r="C23" s="501"/>
      <c r="D23" s="501"/>
      <c r="E23" s="535"/>
      <c r="F23" s="55" t="s">
        <v>177</v>
      </c>
      <c r="G23" s="167">
        <v>44.64553824362946</v>
      </c>
      <c r="H23" s="10">
        <v>160.20064889905294</v>
      </c>
      <c r="I23" s="116">
        <f t="shared" si="2"/>
        <v>17699.839268095024</v>
      </c>
      <c r="J23" s="116">
        <f t="shared" si="0"/>
        <v>790.21885094983088</v>
      </c>
      <c r="K23" s="165">
        <f t="shared" si="1"/>
        <v>8.9944841674312413E-3</v>
      </c>
      <c r="O23" s="11"/>
      <c r="P23" s="87"/>
    </row>
    <row r="24" spans="1:16" ht="16.75" customHeight="1" x14ac:dyDescent="0.2">
      <c r="A24" s="500">
        <v>4</v>
      </c>
      <c r="B24" s="501"/>
      <c r="C24" s="501"/>
      <c r="D24" s="501" t="s">
        <v>34</v>
      </c>
      <c r="E24" s="535">
        <f>Assumptions!D64</f>
        <v>1612.0500000000002</v>
      </c>
      <c r="F24" s="56" t="s">
        <v>305</v>
      </c>
      <c r="G24" s="167">
        <v>714.32861189807136</v>
      </c>
      <c r="H24" s="10">
        <v>59.021291699651087</v>
      </c>
      <c r="I24" s="116">
        <f t="shared" si="2"/>
        <v>1745.3736743915581</v>
      </c>
      <c r="J24" s="116">
        <f t="shared" si="0"/>
        <v>1246.7703540715579</v>
      </c>
      <c r="K24" s="165">
        <f t="shared" si="1"/>
        <v>1.9533727388548739E-2</v>
      </c>
      <c r="O24" s="11"/>
      <c r="P24" s="87"/>
    </row>
    <row r="25" spans="1:16" ht="13.75" customHeight="1" x14ac:dyDescent="0.2">
      <c r="A25" s="500"/>
      <c r="B25" s="501"/>
      <c r="C25" s="501"/>
      <c r="D25" s="501"/>
      <c r="E25" s="535"/>
      <c r="F25" s="56" t="s">
        <v>306</v>
      </c>
      <c r="G25" s="167">
        <v>223.2276912181473</v>
      </c>
      <c r="H25" s="10">
        <v>46.373872049725847</v>
      </c>
      <c r="I25" s="116">
        <f t="shared" si="2"/>
        <v>997.47589189845883</v>
      </c>
      <c r="J25" s="116">
        <f t="shared" si="0"/>
        <v>222.66424039425524</v>
      </c>
      <c r="K25" s="165">
        <f t="shared" si="1"/>
        <v>3.7684646269362187E-3</v>
      </c>
      <c r="O25" s="11"/>
      <c r="P25" s="87"/>
    </row>
    <row r="26" spans="1:16" x14ac:dyDescent="0.2">
      <c r="A26" s="500"/>
      <c r="B26" s="501"/>
      <c r="C26" s="501"/>
      <c r="D26" s="501"/>
      <c r="E26" s="535"/>
      <c r="F26" s="56" t="s">
        <v>307</v>
      </c>
      <c r="G26" s="167">
        <v>2276.9224504251029</v>
      </c>
      <c r="H26" s="10">
        <v>47.217033359720872</v>
      </c>
      <c r="I26" s="116">
        <f t="shared" si="2"/>
        <v>1040.0571189715888</v>
      </c>
      <c r="J26" s="116">
        <f t="shared" si="0"/>
        <v>2368.1294039108629</v>
      </c>
      <c r="K26" s="165">
        <f t="shared" si="1"/>
        <v>3.9848803872639442E-2</v>
      </c>
      <c r="O26" s="11"/>
      <c r="P26" s="87"/>
    </row>
    <row r="27" spans="1:16" ht="26" x14ac:dyDescent="0.2">
      <c r="A27" s="162">
        <v>5</v>
      </c>
      <c r="B27" s="170"/>
      <c r="C27" s="6"/>
      <c r="D27" s="6" t="s">
        <v>34</v>
      </c>
      <c r="E27" s="171">
        <f>Assumptions!D65</f>
        <v>353.58800000000002</v>
      </c>
      <c r="F27" s="56" t="s">
        <v>323</v>
      </c>
      <c r="G27" s="167">
        <v>0</v>
      </c>
      <c r="H27" s="10">
        <v>0</v>
      </c>
      <c r="I27" s="116">
        <v>0</v>
      </c>
      <c r="J27" s="116">
        <f t="shared" si="0"/>
        <v>0</v>
      </c>
      <c r="K27" s="165">
        <f t="shared" si="1"/>
        <v>0</v>
      </c>
      <c r="O27" s="11"/>
      <c r="P27" s="87"/>
    </row>
    <row r="28" spans="1:16" x14ac:dyDescent="0.2">
      <c r="A28" s="500">
        <v>6</v>
      </c>
      <c r="B28" s="501"/>
      <c r="C28" s="501"/>
      <c r="D28" s="501" t="s">
        <v>35</v>
      </c>
      <c r="E28" s="535">
        <f>Assumptions!D66</f>
        <v>4915.7929999999997</v>
      </c>
      <c r="F28" s="55" t="s">
        <v>178</v>
      </c>
      <c r="G28" s="167">
        <v>803.61968838533028</v>
      </c>
      <c r="H28" s="10">
        <v>74.396586176030752</v>
      </c>
      <c r="I28" s="116">
        <f t="shared" si="2"/>
        <v>2986.4221067539602</v>
      </c>
      <c r="J28" s="116">
        <f t="shared" si="0"/>
        <v>2399.9476028166791</v>
      </c>
      <c r="K28" s="165">
        <f t="shared" si="1"/>
        <v>3.4916141128637772E-2</v>
      </c>
      <c r="O28" s="11"/>
      <c r="P28" s="87"/>
    </row>
    <row r="29" spans="1:16" x14ac:dyDescent="0.2">
      <c r="A29" s="500"/>
      <c r="B29" s="501"/>
      <c r="C29" s="501"/>
      <c r="D29" s="501"/>
      <c r="E29" s="535"/>
      <c r="F29" s="55" t="s">
        <v>179</v>
      </c>
      <c r="G29" s="167">
        <v>535.74645892355352</v>
      </c>
      <c r="H29" s="10">
        <v>63.237098249626165</v>
      </c>
      <c r="I29" s="116">
        <f t="shared" si="2"/>
        <v>2048.344968477325</v>
      </c>
      <c r="J29" s="116">
        <f t="shared" si="0"/>
        <v>1097.3935635156047</v>
      </c>
      <c r="K29" s="165">
        <f t="shared" si="1"/>
        <v>1.6817941310293873E-2</v>
      </c>
      <c r="O29" s="11"/>
      <c r="P29" s="87"/>
    </row>
    <row r="30" spans="1:16" x14ac:dyDescent="0.2">
      <c r="A30" s="500"/>
      <c r="B30" s="501"/>
      <c r="C30" s="501"/>
      <c r="D30" s="501"/>
      <c r="E30" s="535"/>
      <c r="F30" s="55" t="s">
        <v>175</v>
      </c>
      <c r="G30" s="167">
        <v>1339.3661473088841</v>
      </c>
      <c r="H30" s="10">
        <v>33.726452399800621</v>
      </c>
      <c r="I30" s="116">
        <f t="shared" si="2"/>
        <v>476.47503236856795</v>
      </c>
      <c r="J30" s="116">
        <f t="shared" si="0"/>
        <v>638.17452839236478</v>
      </c>
      <c r="K30" s="165">
        <f t="shared" si="1"/>
        <v>1.1959424931764539E-2</v>
      </c>
      <c r="O30" s="11"/>
      <c r="P30" s="87"/>
    </row>
    <row r="31" spans="1:16" x14ac:dyDescent="0.2">
      <c r="A31" s="500"/>
      <c r="B31" s="501"/>
      <c r="C31" s="501"/>
      <c r="D31" s="501"/>
      <c r="E31" s="535"/>
      <c r="F31" s="55" t="s">
        <v>180</v>
      </c>
      <c r="G31" s="167">
        <v>89.29107648725892</v>
      </c>
      <c r="H31" s="10">
        <v>84.316130999501539</v>
      </c>
      <c r="I31" s="116">
        <f t="shared" si="2"/>
        <v>3992.6474921141053</v>
      </c>
      <c r="J31" s="116">
        <f t="shared" si="0"/>
        <v>356.5077926050231</v>
      </c>
      <c r="K31" s="165">
        <f t="shared" si="1"/>
        <v>4.9830937215685541E-3</v>
      </c>
      <c r="O31" s="11"/>
      <c r="P31" s="87"/>
    </row>
    <row r="32" spans="1:16" x14ac:dyDescent="0.2">
      <c r="A32" s="500"/>
      <c r="B32" s="501"/>
      <c r="C32" s="501"/>
      <c r="D32" s="501"/>
      <c r="E32" s="535"/>
      <c r="F32" s="55" t="s">
        <v>181</v>
      </c>
      <c r="G32" s="167">
        <v>89.29107648725892</v>
      </c>
      <c r="H32" s="10">
        <v>134.90580959920248</v>
      </c>
      <c r="I32" s="116">
        <f t="shared" si="2"/>
        <v>11880.078986053724</v>
      </c>
      <c r="J32" s="116">
        <f t="shared" si="0"/>
        <v>1060.7850414184006</v>
      </c>
      <c r="K32" s="165">
        <f t="shared" si="1"/>
        <v>1.2756719927215504E-2</v>
      </c>
      <c r="O32" s="11"/>
      <c r="P32" s="87"/>
    </row>
    <row r="33" spans="1:16" ht="26" x14ac:dyDescent="0.2">
      <c r="A33" s="162">
        <v>7</v>
      </c>
      <c r="B33" s="170"/>
      <c r="C33" s="6"/>
      <c r="D33" s="6" t="s">
        <v>34</v>
      </c>
      <c r="E33" s="171">
        <f>Assumptions!D67</f>
        <v>2549.9479999999994</v>
      </c>
      <c r="F33" s="56" t="s">
        <v>323</v>
      </c>
      <c r="G33" s="167">
        <v>0</v>
      </c>
      <c r="H33" s="10">
        <v>0</v>
      </c>
      <c r="I33" s="116">
        <v>0</v>
      </c>
      <c r="J33" s="116">
        <f t="shared" si="0"/>
        <v>0</v>
      </c>
      <c r="K33" s="165">
        <f t="shared" si="1"/>
        <v>0</v>
      </c>
      <c r="O33" s="11"/>
      <c r="P33" s="87"/>
    </row>
    <row r="34" spans="1:16" x14ac:dyDescent="0.2">
      <c r="A34" s="162">
        <v>8</v>
      </c>
      <c r="B34" s="170"/>
      <c r="C34" s="6"/>
      <c r="D34" s="6" t="s">
        <v>36</v>
      </c>
      <c r="E34" s="171">
        <f>Assumptions!D68</f>
        <v>741.26900000000001</v>
      </c>
      <c r="F34" s="56" t="s">
        <v>323</v>
      </c>
      <c r="G34" s="167">
        <v>0</v>
      </c>
      <c r="H34" s="10">
        <v>0</v>
      </c>
      <c r="I34" s="116">
        <v>0</v>
      </c>
      <c r="J34" s="116">
        <f t="shared" si="0"/>
        <v>0</v>
      </c>
      <c r="K34" s="165">
        <f t="shared" si="1"/>
        <v>0</v>
      </c>
      <c r="O34" s="11"/>
      <c r="P34" s="87"/>
    </row>
    <row r="35" spans="1:16" x14ac:dyDescent="0.2">
      <c r="A35" s="500">
        <v>9</v>
      </c>
      <c r="B35" s="501"/>
      <c r="C35" s="501"/>
      <c r="D35" s="501" t="s">
        <v>35</v>
      </c>
      <c r="E35" s="535">
        <f>Assumptions!D69</f>
        <v>8643.7000000000025</v>
      </c>
      <c r="F35" s="55" t="s">
        <v>173</v>
      </c>
      <c r="G35" s="167">
        <v>312.51876770540628</v>
      </c>
      <c r="H35" s="10">
        <v>57.816775542515337</v>
      </c>
      <c r="I35" s="116">
        <f t="shared" si="2"/>
        <v>1663.8462270027642</v>
      </c>
      <c r="J35" s="116">
        <f t="shared" ref="J35:J66" si="3">(I35*G35)/1000</f>
        <v>519.98317251419348</v>
      </c>
      <c r="K35" s="165">
        <f t="shared" ref="K35:K66" si="4">0.00000001*3.14*(H35/2)^2*G35</f>
        <v>8.2007485246385348E-3</v>
      </c>
      <c r="O35" s="11"/>
      <c r="P35" s="87"/>
    </row>
    <row r="36" spans="1:16" x14ac:dyDescent="0.2">
      <c r="A36" s="500"/>
      <c r="B36" s="501"/>
      <c r="C36" s="501"/>
      <c r="D36" s="501"/>
      <c r="E36" s="535"/>
      <c r="F36" s="55" t="s">
        <v>182</v>
      </c>
      <c r="G36" s="167">
        <v>312.51876770540628</v>
      </c>
      <c r="H36" s="10">
        <v>210.79032749875384</v>
      </c>
      <c r="I36" s="116">
        <f t="shared" si="2"/>
        <v>33456.598800236752</v>
      </c>
      <c r="J36" s="116">
        <f t="shared" si="3"/>
        <v>10455.815028664165</v>
      </c>
      <c r="K36" s="165">
        <f t="shared" si="4"/>
        <v>0.10900517515931213</v>
      </c>
      <c r="O36" s="11"/>
      <c r="P36" s="87"/>
    </row>
    <row r="37" spans="1:16" x14ac:dyDescent="0.2">
      <c r="A37" s="500"/>
      <c r="B37" s="501"/>
      <c r="C37" s="501"/>
      <c r="D37" s="501"/>
      <c r="E37" s="535"/>
      <c r="F37" s="55" t="s">
        <v>172</v>
      </c>
      <c r="G37" s="167">
        <v>312.51876770540628</v>
      </c>
      <c r="H37" s="10">
        <v>163.81419737046014</v>
      </c>
      <c r="I37" s="116">
        <f t="shared" si="2"/>
        <v>18639.908791267659</v>
      </c>
      <c r="J37" s="116">
        <f t="shared" si="3"/>
        <v>5825.3213255881383</v>
      </c>
      <c r="K37" s="165">
        <f t="shared" si="4"/>
        <v>6.583378676723714E-2</v>
      </c>
      <c r="O37" s="11"/>
      <c r="P37" s="87"/>
    </row>
    <row r="38" spans="1:16" x14ac:dyDescent="0.2">
      <c r="A38" s="500"/>
      <c r="B38" s="501"/>
      <c r="C38" s="501"/>
      <c r="D38" s="501"/>
      <c r="E38" s="535"/>
      <c r="F38" s="55" t="s">
        <v>183</v>
      </c>
      <c r="G38" s="167">
        <v>178.58215297451784</v>
      </c>
      <c r="H38" s="10">
        <v>54.805485149676009</v>
      </c>
      <c r="I38" s="116">
        <f t="shared" si="2"/>
        <v>1469.6704285446604</v>
      </c>
      <c r="J38" s="116">
        <f t="shared" si="3"/>
        <v>262.45690929248769</v>
      </c>
      <c r="K38" s="165">
        <f t="shared" si="4"/>
        <v>4.2107141947254293E-3</v>
      </c>
      <c r="O38" s="11"/>
      <c r="P38" s="87"/>
    </row>
    <row r="39" spans="1:16" x14ac:dyDescent="0.2">
      <c r="A39" s="500"/>
      <c r="B39" s="501"/>
      <c r="C39" s="501"/>
      <c r="D39" s="501"/>
      <c r="E39" s="535"/>
      <c r="F39" s="55" t="s">
        <v>184</v>
      </c>
      <c r="G39" s="167">
        <v>89.29107648725892</v>
      </c>
      <c r="H39" s="10">
        <v>177.06387509895325</v>
      </c>
      <c r="I39" s="116">
        <f t="shared" si="2"/>
        <v>22325.938913906579</v>
      </c>
      <c r="J39" s="116">
        <f t="shared" si="3"/>
        <v>1993.5071192115026</v>
      </c>
      <c r="K39" s="165">
        <f t="shared" si="4"/>
        <v>2.1975443312117329E-2</v>
      </c>
      <c r="O39" s="11"/>
      <c r="P39" s="87"/>
    </row>
    <row r="40" spans="1:16" x14ac:dyDescent="0.2">
      <c r="A40" s="500"/>
      <c r="B40" s="501"/>
      <c r="C40" s="501"/>
      <c r="D40" s="501"/>
      <c r="E40" s="535"/>
      <c r="F40" s="55" t="s">
        <v>185</v>
      </c>
      <c r="G40" s="167">
        <v>44.64553824362946</v>
      </c>
      <c r="H40" s="10">
        <v>50.589678599700932</v>
      </c>
      <c r="I40" s="116">
        <f t="shared" si="2"/>
        <v>1220.5957943745968</v>
      </c>
      <c r="J40" s="116">
        <f t="shared" si="3"/>
        <v>54.494156217764342</v>
      </c>
      <c r="K40" s="165">
        <f t="shared" si="4"/>
        <v>8.9695686988234007E-4</v>
      </c>
      <c r="O40" s="11"/>
      <c r="P40" s="87"/>
    </row>
    <row r="41" spans="1:16" x14ac:dyDescent="0.2">
      <c r="A41" s="500"/>
      <c r="B41" s="501"/>
      <c r="C41" s="501"/>
      <c r="D41" s="501"/>
      <c r="E41" s="535"/>
      <c r="F41" s="55" t="s">
        <v>186</v>
      </c>
      <c r="G41" s="167">
        <v>133.93661473088838</v>
      </c>
      <c r="H41" s="10">
        <v>120.85312109928554</v>
      </c>
      <c r="I41" s="116">
        <f t="shared" si="2"/>
        <v>9204.2090574259491</v>
      </c>
      <c r="J41" s="116">
        <f t="shared" si="3"/>
        <v>1232.7806024270126</v>
      </c>
      <c r="K41" s="165">
        <f t="shared" si="4"/>
        <v>1.5356233818633762E-2</v>
      </c>
      <c r="O41" s="11"/>
      <c r="P41" s="87"/>
    </row>
    <row r="42" spans="1:16" x14ac:dyDescent="0.2">
      <c r="A42" s="500"/>
      <c r="B42" s="501"/>
      <c r="C42" s="501"/>
      <c r="D42" s="501"/>
      <c r="E42" s="535"/>
      <c r="F42" s="55" t="s">
        <v>171</v>
      </c>
      <c r="G42" s="167">
        <v>178.58215297451784</v>
      </c>
      <c r="H42" s="10">
        <v>299.32226504823046</v>
      </c>
      <c r="I42" s="116">
        <f t="shared" si="2"/>
        <v>75472.849537892369</v>
      </c>
      <c r="J42" s="116">
        <f t="shared" si="3"/>
        <v>13478.103961598663</v>
      </c>
      <c r="K42" s="165">
        <f t="shared" si="4"/>
        <v>0.12559887725213542</v>
      </c>
      <c r="O42" s="11"/>
      <c r="P42" s="87"/>
    </row>
    <row r="43" spans="1:16" x14ac:dyDescent="0.2">
      <c r="A43" s="500"/>
      <c r="B43" s="501"/>
      <c r="C43" s="501"/>
      <c r="D43" s="501"/>
      <c r="E43" s="535"/>
      <c r="F43" s="55" t="s">
        <v>187</v>
      </c>
      <c r="G43" s="167">
        <v>44.64553824362946</v>
      </c>
      <c r="H43" s="10">
        <v>252.94839299850466</v>
      </c>
      <c r="I43" s="116">
        <f t="shared" si="2"/>
        <v>51071.931083626609</v>
      </c>
      <c r="J43" s="116">
        <f t="shared" si="3"/>
        <v>2280.1338523700601</v>
      </c>
      <c r="K43" s="165">
        <f t="shared" si="4"/>
        <v>2.2423921747058501E-2</v>
      </c>
      <c r="O43" s="11"/>
      <c r="P43" s="87"/>
    </row>
    <row r="44" spans="1:16" x14ac:dyDescent="0.2">
      <c r="A44" s="500"/>
      <c r="B44" s="501"/>
      <c r="C44" s="501"/>
      <c r="D44" s="501"/>
      <c r="E44" s="535"/>
      <c r="F44" s="55" t="s">
        <v>188</v>
      </c>
      <c r="G44" s="167">
        <v>178.58215297451784</v>
      </c>
      <c r="H44" s="10">
        <v>206.57452094877877</v>
      </c>
      <c r="I44" s="116">
        <f t="shared" si="2"/>
        <v>31924.660248704567</v>
      </c>
      <c r="J44" s="116">
        <f t="shared" si="3"/>
        <v>5701.1745601936682</v>
      </c>
      <c r="K44" s="165">
        <f t="shared" si="4"/>
        <v>5.9822040127430497E-2</v>
      </c>
      <c r="O44" s="11"/>
      <c r="P44" s="87"/>
    </row>
    <row r="45" spans="1:16" x14ac:dyDescent="0.2">
      <c r="A45" s="500">
        <v>10</v>
      </c>
      <c r="B45" s="501"/>
      <c r="C45" s="501"/>
      <c r="D45" s="501" t="s">
        <v>35</v>
      </c>
      <c r="E45" s="535">
        <f>Assumptions!D70</f>
        <v>2860.4270000000001</v>
      </c>
      <c r="F45" s="55" t="s">
        <v>189</v>
      </c>
      <c r="G45" s="167">
        <v>89.29107648725892</v>
      </c>
      <c r="H45" s="10">
        <v>67.452904799601242</v>
      </c>
      <c r="I45" s="116">
        <f t="shared" si="2"/>
        <v>2379.1933547782751</v>
      </c>
      <c r="J45" s="116">
        <f t="shared" si="3"/>
        <v>212.4407358194851</v>
      </c>
      <c r="K45" s="165">
        <f t="shared" si="4"/>
        <v>3.1891799818038759E-3</v>
      </c>
      <c r="O45" s="11"/>
      <c r="P45" s="87"/>
    </row>
    <row r="46" spans="1:16" x14ac:dyDescent="0.2">
      <c r="A46" s="500"/>
      <c r="B46" s="501"/>
      <c r="C46" s="501"/>
      <c r="D46" s="501"/>
      <c r="E46" s="535"/>
      <c r="F46" s="55" t="s">
        <v>190</v>
      </c>
      <c r="G46" s="167">
        <v>714.32861189807136</v>
      </c>
      <c r="H46" s="10">
        <v>59.021291699651087</v>
      </c>
      <c r="I46" s="116">
        <f t="shared" si="2"/>
        <v>1745.3736743915581</v>
      </c>
      <c r="J46" s="116">
        <f t="shared" si="3"/>
        <v>1246.7703540715579</v>
      </c>
      <c r="K46" s="165">
        <f t="shared" si="4"/>
        <v>1.9533727388548739E-2</v>
      </c>
      <c r="O46" s="11"/>
      <c r="P46" s="87"/>
    </row>
    <row r="47" spans="1:16" x14ac:dyDescent="0.2">
      <c r="A47" s="500"/>
      <c r="B47" s="501"/>
      <c r="C47" s="501"/>
      <c r="D47" s="501"/>
      <c r="E47" s="535"/>
      <c r="F47" s="55" t="s">
        <v>191</v>
      </c>
      <c r="G47" s="167">
        <v>89.29107648725892</v>
      </c>
      <c r="H47" s="10">
        <v>50.589678599700932</v>
      </c>
      <c r="I47" s="116">
        <f t="shared" si="2"/>
        <v>1220.5957943745968</v>
      </c>
      <c r="J47" s="116">
        <f t="shared" si="3"/>
        <v>108.98831243552868</v>
      </c>
      <c r="K47" s="165">
        <f t="shared" si="4"/>
        <v>1.7939137397646801E-3</v>
      </c>
      <c r="O47" s="11"/>
      <c r="P47" s="87"/>
    </row>
    <row r="48" spans="1:16" x14ac:dyDescent="0.2">
      <c r="A48" s="500"/>
      <c r="B48" s="501"/>
      <c r="C48" s="501"/>
      <c r="D48" s="501"/>
      <c r="E48" s="535"/>
      <c r="F48" s="55" t="s">
        <v>171</v>
      </c>
      <c r="G48" s="167">
        <v>357.16430594903568</v>
      </c>
      <c r="H48" s="10">
        <v>88.531937549476623</v>
      </c>
      <c r="I48" s="116">
        <f t="shared" si="2"/>
        <v>4471.1592882091309</v>
      </c>
      <c r="J48" s="116">
        <f t="shared" si="3"/>
        <v>1596.9385039607987</v>
      </c>
      <c r="K48" s="165">
        <f t="shared" si="4"/>
        <v>2.1975443312117329E-2</v>
      </c>
      <c r="O48" s="11"/>
      <c r="P48" s="87"/>
    </row>
    <row r="49" spans="1:16" x14ac:dyDescent="0.2">
      <c r="A49" s="500"/>
      <c r="B49" s="501"/>
      <c r="C49" s="501"/>
      <c r="D49" s="501"/>
      <c r="E49" s="535"/>
      <c r="F49" s="55" t="s">
        <v>188</v>
      </c>
      <c r="G49" s="167">
        <v>89.29107648725892</v>
      </c>
      <c r="H49" s="10">
        <v>151.7690357991028</v>
      </c>
      <c r="I49" s="116">
        <f t="shared" si="2"/>
        <v>15613.245199930194</v>
      </c>
      <c r="J49" s="116">
        <f t="shared" si="3"/>
        <v>1394.1234713612951</v>
      </c>
      <c r="K49" s="165">
        <f t="shared" si="4"/>
        <v>1.6145223657882121E-2</v>
      </c>
      <c r="O49" s="11"/>
      <c r="P49" s="87"/>
    </row>
    <row r="50" spans="1:16" x14ac:dyDescent="0.2">
      <c r="A50" s="500">
        <v>11</v>
      </c>
      <c r="B50" s="501"/>
      <c r="C50" s="501"/>
      <c r="D50" s="501" t="s">
        <v>35</v>
      </c>
      <c r="E50" s="535">
        <f>Assumptions!D71</f>
        <v>9034.3230000000021</v>
      </c>
      <c r="F50" s="10" t="s">
        <v>192</v>
      </c>
      <c r="G50" s="167">
        <v>669.68307365444207</v>
      </c>
      <c r="H50" s="10">
        <v>70.966076924580491</v>
      </c>
      <c r="I50" s="116">
        <f t="shared" si="2"/>
        <v>2676.6159690641311</v>
      </c>
      <c r="J50" s="116">
        <f t="shared" si="3"/>
        <v>1792.4844091554303</v>
      </c>
      <c r="K50" s="165">
        <f t="shared" si="4"/>
        <v>2.647528075714629E-2</v>
      </c>
      <c r="O50" s="11"/>
      <c r="P50" s="87"/>
    </row>
    <row r="51" spans="1:16" x14ac:dyDescent="0.2">
      <c r="A51" s="500"/>
      <c r="B51" s="501"/>
      <c r="C51" s="501"/>
      <c r="D51" s="501"/>
      <c r="E51" s="535"/>
      <c r="F51" s="10" t="s">
        <v>193</v>
      </c>
      <c r="G51" s="167">
        <v>334.84153682722103</v>
      </c>
      <c r="H51" s="10">
        <v>39.347527799767384</v>
      </c>
      <c r="I51" s="116">
        <f t="shared" si="2"/>
        <v>681.32872637585217</v>
      </c>
      <c r="J51" s="116">
        <f t="shared" si="3"/>
        <v>228.13715782422352</v>
      </c>
      <c r="K51" s="165">
        <f t="shared" si="4"/>
        <v>4.0695265392809866E-3</v>
      </c>
      <c r="O51" s="11"/>
      <c r="P51" s="87"/>
    </row>
    <row r="52" spans="1:16" x14ac:dyDescent="0.2">
      <c r="A52" s="500"/>
      <c r="B52" s="501"/>
      <c r="C52" s="501"/>
      <c r="D52" s="501"/>
      <c r="E52" s="535"/>
      <c r="F52" s="10" t="s">
        <v>190</v>
      </c>
      <c r="G52" s="167">
        <v>334.84153682722103</v>
      </c>
      <c r="H52" s="10">
        <v>109.61097029935202</v>
      </c>
      <c r="I52" s="116">
        <f t="shared" si="2"/>
        <v>7338.5379710784773</v>
      </c>
      <c r="J52" s="116">
        <f t="shared" si="3"/>
        <v>2457.2473323008339</v>
      </c>
      <c r="K52" s="165">
        <f t="shared" si="4"/>
        <v>3.1580356460440731E-2</v>
      </c>
      <c r="O52" s="11"/>
      <c r="P52" s="87"/>
    </row>
    <row r="53" spans="1:16" x14ac:dyDescent="0.2">
      <c r="A53" s="500"/>
      <c r="B53" s="501"/>
      <c r="C53" s="501"/>
      <c r="D53" s="501"/>
      <c r="E53" s="535"/>
      <c r="F53" s="10" t="s">
        <v>186</v>
      </c>
      <c r="G53" s="167">
        <v>334.84153682722103</v>
      </c>
      <c r="H53" s="10">
        <v>56.210753999667688</v>
      </c>
      <c r="I53" s="116">
        <f t="shared" si="2"/>
        <v>1558.5805323998279</v>
      </c>
      <c r="J53" s="116">
        <f t="shared" si="3"/>
        <v>521.8775007377468</v>
      </c>
      <c r="K53" s="165">
        <f t="shared" si="4"/>
        <v>8.305156202614258E-3</v>
      </c>
      <c r="O53" s="11"/>
      <c r="P53" s="87"/>
    </row>
    <row r="54" spans="1:16" x14ac:dyDescent="0.2">
      <c r="A54" s="500"/>
      <c r="B54" s="501"/>
      <c r="C54" s="501"/>
      <c r="D54" s="501"/>
      <c r="E54" s="535"/>
      <c r="F54" s="10" t="s">
        <v>194</v>
      </c>
      <c r="G54" s="167">
        <v>1004.5246104816628</v>
      </c>
      <c r="H54" s="10">
        <v>133.96896369920805</v>
      </c>
      <c r="I54" s="116">
        <f t="shared" si="2"/>
        <v>11689.554318745084</v>
      </c>
      <c r="J54" s="116">
        <f t="shared" si="3"/>
        <v>11742.444998741643</v>
      </c>
      <c r="K54" s="165">
        <f t="shared" si="4"/>
        <v>0.1415267826560492</v>
      </c>
      <c r="O54" s="11"/>
      <c r="P54" s="87"/>
    </row>
    <row r="55" spans="1:16" x14ac:dyDescent="0.2">
      <c r="A55" s="500"/>
      <c r="B55" s="501"/>
      <c r="C55" s="501"/>
      <c r="D55" s="501"/>
      <c r="E55" s="535"/>
      <c r="F55" s="10" t="s">
        <v>195</v>
      </c>
      <c r="G55" s="167">
        <v>111.61384560907365</v>
      </c>
      <c r="H55" s="10">
        <v>42.158065499750769</v>
      </c>
      <c r="I55" s="116">
        <f t="shared" si="2"/>
        <v>799.59740944158818</v>
      </c>
      <c r="J55" s="116">
        <f t="shared" si="3"/>
        <v>89.246141806828675</v>
      </c>
      <c r="K55" s="165">
        <f t="shared" si="4"/>
        <v>1.5572167879901731E-3</v>
      </c>
      <c r="O55" s="11"/>
      <c r="P55" s="87"/>
    </row>
    <row r="56" spans="1:16" x14ac:dyDescent="0.2">
      <c r="A56" s="500"/>
      <c r="B56" s="501"/>
      <c r="C56" s="501"/>
      <c r="D56" s="501"/>
      <c r="E56" s="535"/>
      <c r="F56" s="10" t="s">
        <v>196</v>
      </c>
      <c r="G56" s="167">
        <v>111.61384560907365</v>
      </c>
      <c r="H56" s="10">
        <v>126.47419649925233</v>
      </c>
      <c r="I56" s="116">
        <f t="shared" si="2"/>
        <v>10228.04639535658</v>
      </c>
      <c r="J56" s="116">
        <f t="shared" si="3"/>
        <v>1141.5915912537714</v>
      </c>
      <c r="K56" s="165">
        <f t="shared" si="4"/>
        <v>1.4014951091911563E-2</v>
      </c>
      <c r="O56" s="11"/>
      <c r="P56" s="87"/>
    </row>
    <row r="57" spans="1:16" x14ac:dyDescent="0.2">
      <c r="A57" s="500"/>
      <c r="B57" s="501"/>
      <c r="C57" s="501"/>
      <c r="D57" s="501"/>
      <c r="E57" s="535"/>
      <c r="F57" s="10" t="s">
        <v>197</v>
      </c>
      <c r="G57" s="167">
        <v>111.61384560907365</v>
      </c>
      <c r="H57" s="10">
        <v>84.316130999501539</v>
      </c>
      <c r="I57" s="116">
        <f t="shared" si="2"/>
        <v>3992.6474921141053</v>
      </c>
      <c r="J57" s="116">
        <f t="shared" si="3"/>
        <v>445.63474075627886</v>
      </c>
      <c r="K57" s="165">
        <f t="shared" si="4"/>
        <v>6.2288671519606922E-3</v>
      </c>
      <c r="O57" s="11"/>
      <c r="P57" s="87"/>
    </row>
    <row r="58" spans="1:16" x14ac:dyDescent="0.2">
      <c r="A58" s="500"/>
      <c r="B58" s="501"/>
      <c r="C58" s="501"/>
      <c r="D58" s="501"/>
      <c r="E58" s="535"/>
      <c r="F58" s="55" t="s">
        <v>182</v>
      </c>
      <c r="G58" s="167">
        <v>301.80383852693512</v>
      </c>
      <c r="H58" s="10">
        <v>236.08516679860435</v>
      </c>
      <c r="I58" s="116">
        <f t="shared" si="2"/>
        <v>43517.867051449684</v>
      </c>
      <c r="J58" s="116">
        <f t="shared" si="3"/>
        <v>13133.859320632351</v>
      </c>
      <c r="K58" s="165">
        <f t="shared" si="4"/>
        <v>0.13204799714658946</v>
      </c>
      <c r="O58" s="11"/>
      <c r="P58" s="87"/>
    </row>
    <row r="59" spans="1:16" x14ac:dyDescent="0.2">
      <c r="A59" s="500"/>
      <c r="B59" s="501"/>
      <c r="C59" s="501"/>
      <c r="D59" s="501"/>
      <c r="E59" s="535"/>
      <c r="F59" s="55" t="s">
        <v>187</v>
      </c>
      <c r="G59" s="167">
        <v>111.61384560907365</v>
      </c>
      <c r="H59" s="10">
        <v>505.89678599700932</v>
      </c>
      <c r="I59" s="116">
        <f t="shared" si="2"/>
        <v>255018.60705235557</v>
      </c>
      <c r="J59" s="116">
        <f t="shared" si="3"/>
        <v>28463.607434982634</v>
      </c>
      <c r="K59" s="165">
        <f t="shared" si="4"/>
        <v>0.22423921747058501</v>
      </c>
      <c r="O59" s="11"/>
      <c r="P59" s="87"/>
    </row>
    <row r="60" spans="1:16" x14ac:dyDescent="0.2">
      <c r="A60" s="500"/>
      <c r="B60" s="501"/>
      <c r="C60" s="501"/>
      <c r="D60" s="501"/>
      <c r="E60" s="535"/>
      <c r="F60" s="10" t="s">
        <v>198</v>
      </c>
      <c r="G60" s="167">
        <v>44.64553824362946</v>
      </c>
      <c r="H60" s="10">
        <v>168.63226199900308</v>
      </c>
      <c r="I60" s="116">
        <f t="shared" si="2"/>
        <v>19936.575341605745</v>
      </c>
      <c r="J60" s="116">
        <f t="shared" si="3"/>
        <v>890.07913686065933</v>
      </c>
      <c r="K60" s="165">
        <f t="shared" si="4"/>
        <v>9.9661874431371082E-3</v>
      </c>
      <c r="O60" s="11"/>
      <c r="P60" s="87"/>
    </row>
    <row r="61" spans="1:16" x14ac:dyDescent="0.2">
      <c r="A61" s="500"/>
      <c r="B61" s="501"/>
      <c r="C61" s="501"/>
      <c r="D61" s="501"/>
      <c r="E61" s="535"/>
      <c r="F61" s="10" t="s">
        <v>173</v>
      </c>
      <c r="G61" s="167">
        <v>44.64553824362946</v>
      </c>
      <c r="H61" s="10">
        <v>50.589678599700932</v>
      </c>
      <c r="I61" s="116">
        <f t="shared" si="2"/>
        <v>1220.5957943745968</v>
      </c>
      <c r="J61" s="116">
        <f t="shared" si="3"/>
        <v>54.494156217764342</v>
      </c>
      <c r="K61" s="165">
        <f t="shared" si="4"/>
        <v>8.9695686988234007E-4</v>
      </c>
      <c r="O61" s="11"/>
      <c r="P61" s="87"/>
    </row>
    <row r="62" spans="1:16" x14ac:dyDescent="0.2">
      <c r="A62" s="500"/>
      <c r="B62" s="501"/>
      <c r="C62" s="501"/>
      <c r="D62" s="501"/>
      <c r="E62" s="535"/>
      <c r="F62" s="10" t="s">
        <v>199</v>
      </c>
      <c r="G62" s="167">
        <v>178.58215297451784</v>
      </c>
      <c r="H62" s="10">
        <v>122.25838994927726</v>
      </c>
      <c r="I62" s="116">
        <f t="shared" si="2"/>
        <v>9454.4165644456698</v>
      </c>
      <c r="J62" s="116">
        <f t="shared" si="3"/>
        <v>1688.3900651966519</v>
      </c>
      <c r="K62" s="165">
        <f t="shared" si="4"/>
        <v>2.095390909919578E-2</v>
      </c>
      <c r="O62" s="11"/>
      <c r="P62" s="87"/>
    </row>
    <row r="63" spans="1:16" x14ac:dyDescent="0.2">
      <c r="A63" s="500"/>
      <c r="B63" s="501"/>
      <c r="C63" s="501"/>
      <c r="D63" s="501"/>
      <c r="E63" s="535"/>
      <c r="F63" s="10" t="s">
        <v>172</v>
      </c>
      <c r="G63" s="167">
        <v>76</v>
      </c>
      <c r="H63" s="10">
        <v>569.13388424663503</v>
      </c>
      <c r="I63" s="116">
        <f t="shared" si="2"/>
        <v>335155.01429975673</v>
      </c>
      <c r="J63" s="116">
        <f t="shared" si="3"/>
        <v>25471.781086781513</v>
      </c>
      <c r="K63" s="165">
        <f t="shared" si="4"/>
        <v>0.19324672143272528</v>
      </c>
      <c r="O63" s="11"/>
      <c r="P63" s="87"/>
    </row>
    <row r="64" spans="1:16" x14ac:dyDescent="0.2">
      <c r="A64" s="162">
        <v>12</v>
      </c>
      <c r="B64" s="75"/>
      <c r="C64" s="75"/>
      <c r="D64" s="75" t="s">
        <v>37</v>
      </c>
      <c r="E64" s="481">
        <f>Assumptions!D72</f>
        <v>2315.3180000000002</v>
      </c>
      <c r="F64" s="10" t="s">
        <v>323</v>
      </c>
      <c r="G64" s="167">
        <v>0</v>
      </c>
      <c r="H64" s="10">
        <v>0</v>
      </c>
      <c r="I64" s="116">
        <v>0</v>
      </c>
      <c r="J64" s="116">
        <f t="shared" si="3"/>
        <v>0</v>
      </c>
      <c r="K64" s="165">
        <f t="shared" si="4"/>
        <v>0</v>
      </c>
      <c r="O64" s="11"/>
      <c r="P64" s="87"/>
    </row>
    <row r="65" spans="1:16" x14ac:dyDescent="0.2">
      <c r="A65" s="500">
        <v>13</v>
      </c>
      <c r="B65" s="501"/>
      <c r="C65" s="501"/>
      <c r="D65" s="501" t="s">
        <v>35</v>
      </c>
      <c r="E65" s="535">
        <f>Assumptions!D73</f>
        <v>5717.201</v>
      </c>
      <c r="F65" s="55" t="s">
        <v>188</v>
      </c>
      <c r="G65" s="167">
        <v>44.64553824362946</v>
      </c>
      <c r="H65" s="10">
        <v>160.20064889905294</v>
      </c>
      <c r="I65" s="116">
        <f t="shared" si="2"/>
        <v>17699.839268095024</v>
      </c>
      <c r="J65" s="116">
        <f t="shared" si="3"/>
        <v>790.21885094983088</v>
      </c>
      <c r="K65" s="165">
        <f t="shared" si="4"/>
        <v>8.9944841674312413E-3</v>
      </c>
      <c r="O65" s="11"/>
      <c r="P65" s="87"/>
    </row>
    <row r="66" spans="1:16" x14ac:dyDescent="0.2">
      <c r="A66" s="500"/>
      <c r="B66" s="501"/>
      <c r="C66" s="501"/>
      <c r="D66" s="501"/>
      <c r="E66" s="535"/>
      <c r="F66" s="55" t="s">
        <v>182</v>
      </c>
      <c r="G66" s="167">
        <v>44.64553824362946</v>
      </c>
      <c r="H66" s="10">
        <v>168.63226199900308</v>
      </c>
      <c r="I66" s="116">
        <f t="shared" si="2"/>
        <v>19936.575341605745</v>
      </c>
      <c r="J66" s="116">
        <f t="shared" si="3"/>
        <v>890.07913686065933</v>
      </c>
      <c r="K66" s="165">
        <f t="shared" si="4"/>
        <v>9.9661874431371082E-3</v>
      </c>
      <c r="O66" s="11"/>
      <c r="P66" s="87"/>
    </row>
    <row r="67" spans="1:16" x14ac:dyDescent="0.2">
      <c r="A67" s="500"/>
      <c r="B67" s="501"/>
      <c r="C67" s="501"/>
      <c r="D67" s="501"/>
      <c r="E67" s="535"/>
      <c r="F67" s="55" t="s">
        <v>171</v>
      </c>
      <c r="G67" s="167">
        <v>133.93661473088838</v>
      </c>
      <c r="H67" s="10">
        <v>264.19054379843823</v>
      </c>
      <c r="I67" s="116">
        <f t="shared" si="2"/>
        <v>56493.213287385472</v>
      </c>
      <c r="J67" s="116">
        <f t="shared" ref="J67:J98" si="5">(I67*G67)/1000</f>
        <v>7566.5097429824518</v>
      </c>
      <c r="K67" s="165">
        <f t="shared" ref="K67:K102" si="6">0.00000001*3.14*(H67/2)^2*G67</f>
        <v>7.3384360206299626E-2</v>
      </c>
      <c r="O67" s="11"/>
      <c r="P67" s="87"/>
    </row>
    <row r="68" spans="1:16" x14ac:dyDescent="0.2">
      <c r="A68" s="500"/>
      <c r="B68" s="501"/>
      <c r="C68" s="501"/>
      <c r="D68" s="501"/>
      <c r="E68" s="535"/>
      <c r="F68" s="55" t="s">
        <v>172</v>
      </c>
      <c r="G68" s="167">
        <v>535.74645892355352</v>
      </c>
      <c r="H68" s="10">
        <v>241.00360777357523</v>
      </c>
      <c r="I68" s="116">
        <f t="shared" ref="I68:I102" si="7">EXP(-1.996+2.32*LN(H68))</f>
        <v>45650.215918147907</v>
      </c>
      <c r="J68" s="116">
        <f t="shared" si="5"/>
        <v>24456.941527243376</v>
      </c>
      <c r="K68" s="165">
        <f t="shared" si="6"/>
        <v>0.24427333052034117</v>
      </c>
      <c r="O68" s="11"/>
      <c r="P68" s="87"/>
    </row>
    <row r="69" spans="1:16" x14ac:dyDescent="0.2">
      <c r="A69" s="500">
        <v>14</v>
      </c>
      <c r="B69" s="501"/>
      <c r="C69" s="501"/>
      <c r="D69" s="501" t="s">
        <v>35</v>
      </c>
      <c r="E69" s="535">
        <f>Assumptions!D74</f>
        <v>3768.0449999999996</v>
      </c>
      <c r="F69" s="55" t="s">
        <v>201</v>
      </c>
      <c r="G69" s="167">
        <v>89.29107648725892</v>
      </c>
      <c r="H69" s="10">
        <v>84.316130999501539</v>
      </c>
      <c r="I69" s="116">
        <f t="shared" si="7"/>
        <v>3992.6474921141053</v>
      </c>
      <c r="J69" s="116">
        <f t="shared" si="5"/>
        <v>356.5077926050231</v>
      </c>
      <c r="K69" s="165">
        <f t="shared" si="6"/>
        <v>4.9830937215685541E-3</v>
      </c>
      <c r="O69" s="11"/>
      <c r="P69" s="87"/>
    </row>
    <row r="70" spans="1:16" x14ac:dyDescent="0.2">
      <c r="A70" s="500"/>
      <c r="B70" s="501"/>
      <c r="C70" s="501"/>
      <c r="D70" s="501"/>
      <c r="E70" s="535"/>
      <c r="F70" s="55" t="s">
        <v>200</v>
      </c>
      <c r="G70" s="167">
        <v>1428.6572237961427</v>
      </c>
      <c r="H70" s="10">
        <v>59.548267518397971</v>
      </c>
      <c r="I70" s="116">
        <f t="shared" si="7"/>
        <v>1781.7410973129411</v>
      </c>
      <c r="J70" s="116">
        <f t="shared" si="5"/>
        <v>2545.4972896105992</v>
      </c>
      <c r="K70" s="165">
        <f t="shared" si="6"/>
        <v>3.9768202331693057E-2</v>
      </c>
      <c r="O70" s="11"/>
      <c r="P70" s="87"/>
    </row>
    <row r="71" spans="1:16" x14ac:dyDescent="0.2">
      <c r="A71" s="500"/>
      <c r="B71" s="501"/>
      <c r="C71" s="501"/>
      <c r="D71" s="501"/>
      <c r="E71" s="535"/>
      <c r="F71" s="55" t="s">
        <v>171</v>
      </c>
      <c r="G71" s="167">
        <v>357.16430594903568</v>
      </c>
      <c r="H71" s="10">
        <v>105.39516374937692</v>
      </c>
      <c r="I71" s="116">
        <f t="shared" si="7"/>
        <v>6700.2683763677014</v>
      </c>
      <c r="J71" s="116">
        <f t="shared" si="5"/>
        <v>2393.0967043176424</v>
      </c>
      <c r="K71" s="165">
        <f t="shared" si="6"/>
        <v>3.1144335759803462E-2</v>
      </c>
      <c r="O71" s="11"/>
      <c r="P71" s="87"/>
    </row>
    <row r="72" spans="1:16" x14ac:dyDescent="0.2">
      <c r="A72" s="500">
        <v>15</v>
      </c>
      <c r="B72" s="501"/>
      <c r="C72" s="501"/>
      <c r="D72" s="501" t="s">
        <v>34</v>
      </c>
      <c r="E72" s="535">
        <f>Assumptions!D75</f>
        <v>236.66199999999998</v>
      </c>
      <c r="F72" s="55" t="s">
        <v>292</v>
      </c>
      <c r="G72" s="167">
        <v>49.110092067992404</v>
      </c>
      <c r="H72" s="10">
        <v>67.452904799601242</v>
      </c>
      <c r="I72" s="116">
        <f t="shared" si="7"/>
        <v>2379.1933547782751</v>
      </c>
      <c r="J72" s="116">
        <f t="shared" si="5"/>
        <v>116.84240470071681</v>
      </c>
      <c r="K72" s="165">
        <f t="shared" si="6"/>
        <v>1.7540489899921317E-3</v>
      </c>
      <c r="O72" s="11"/>
      <c r="P72" s="87"/>
    </row>
    <row r="73" spans="1:16" ht="25" customHeight="1" x14ac:dyDescent="0.2">
      <c r="A73" s="500"/>
      <c r="B73" s="501"/>
      <c r="C73" s="501"/>
      <c r="D73" s="501"/>
      <c r="E73" s="535"/>
      <c r="F73" s="55" t="s">
        <v>293</v>
      </c>
      <c r="G73" s="167">
        <v>117.86422096318178</v>
      </c>
      <c r="H73" s="10">
        <v>263.06632871844482</v>
      </c>
      <c r="I73" s="116">
        <f t="shared" si="7"/>
        <v>55937.058705800351</v>
      </c>
      <c r="J73" s="116">
        <f t="shared" si="5"/>
        <v>6592.9778473309234</v>
      </c>
      <c r="K73" s="165">
        <f t="shared" si="6"/>
        <v>6.4029804330672763E-2</v>
      </c>
      <c r="O73" s="11"/>
      <c r="P73" s="87"/>
    </row>
    <row r="74" spans="1:16" x14ac:dyDescent="0.2">
      <c r="A74" s="162">
        <v>16</v>
      </c>
      <c r="B74" s="170"/>
      <c r="C74" s="170"/>
      <c r="D74" s="170" t="s">
        <v>35</v>
      </c>
      <c r="E74" s="171">
        <f>Assumptions!D76</f>
        <v>6640.8160000000016</v>
      </c>
      <c r="F74" s="55" t="s">
        <v>323</v>
      </c>
      <c r="G74" s="167">
        <v>0</v>
      </c>
      <c r="H74" s="10">
        <v>0</v>
      </c>
      <c r="I74" s="116">
        <v>0</v>
      </c>
      <c r="J74" s="116">
        <f t="shared" si="5"/>
        <v>0</v>
      </c>
      <c r="K74" s="165">
        <f t="shared" si="6"/>
        <v>0</v>
      </c>
      <c r="O74" s="11"/>
      <c r="P74" s="87"/>
    </row>
    <row r="75" spans="1:16" x14ac:dyDescent="0.2">
      <c r="A75" s="162">
        <v>17</v>
      </c>
      <c r="B75" s="75"/>
      <c r="C75" s="75"/>
      <c r="D75" s="75" t="s">
        <v>36</v>
      </c>
      <c r="E75" s="481">
        <f>Assumptions!D77</f>
        <v>837.08299999999997</v>
      </c>
      <c r="F75" s="55" t="s">
        <v>323</v>
      </c>
      <c r="G75" s="167">
        <v>0</v>
      </c>
      <c r="H75" s="10">
        <v>0</v>
      </c>
      <c r="I75" s="116">
        <v>0</v>
      </c>
      <c r="J75" s="116">
        <f t="shared" si="5"/>
        <v>0</v>
      </c>
      <c r="K75" s="165">
        <f t="shared" si="6"/>
        <v>0</v>
      </c>
      <c r="O75" s="11"/>
      <c r="P75" s="87"/>
    </row>
    <row r="76" spans="1:16" x14ac:dyDescent="0.2">
      <c r="A76" s="500">
        <v>18</v>
      </c>
      <c r="B76" s="501"/>
      <c r="C76" s="501"/>
      <c r="D76" s="501" t="s">
        <v>34</v>
      </c>
      <c r="E76" s="535">
        <f>Assumptions!D78</f>
        <v>1849.3409999999997</v>
      </c>
      <c r="F76" s="56" t="s">
        <v>308</v>
      </c>
      <c r="G76" s="168">
        <v>892.9107648725892</v>
      </c>
      <c r="H76" s="10">
        <v>55.648646459671021</v>
      </c>
      <c r="I76" s="116">
        <f t="shared" si="7"/>
        <v>1522.6598589052207</v>
      </c>
      <c r="J76" s="116">
        <f t="shared" si="5"/>
        <v>1359.5993792558495</v>
      </c>
      <c r="K76" s="165">
        <f t="shared" si="6"/>
        <v>2.1706356251152626E-2</v>
      </c>
      <c r="O76" s="169"/>
      <c r="P76" s="87"/>
    </row>
    <row r="77" spans="1:16" x14ac:dyDescent="0.2">
      <c r="A77" s="500"/>
      <c r="B77" s="501"/>
      <c r="C77" s="501"/>
      <c r="D77" s="501"/>
      <c r="E77" s="535"/>
      <c r="F77" s="56" t="s">
        <v>309</v>
      </c>
      <c r="G77" s="168">
        <v>223.2276912181473</v>
      </c>
      <c r="H77" s="10">
        <v>64.080259559621183</v>
      </c>
      <c r="I77" s="116">
        <f t="shared" si="7"/>
        <v>2112.2654842034376</v>
      </c>
      <c r="J77" s="116">
        <f t="shared" si="5"/>
        <v>471.5161472785154</v>
      </c>
      <c r="K77" s="165">
        <f t="shared" si="6"/>
        <v>7.1955873339449956E-3</v>
      </c>
      <c r="O77" s="169"/>
      <c r="P77" s="87"/>
    </row>
    <row r="78" spans="1:16" x14ac:dyDescent="0.2">
      <c r="A78" s="500"/>
      <c r="B78" s="501"/>
      <c r="C78" s="501"/>
      <c r="D78" s="501"/>
      <c r="E78" s="535"/>
      <c r="F78" s="56" t="s">
        <v>310</v>
      </c>
      <c r="G78" s="168">
        <v>44.64553824362946</v>
      </c>
      <c r="H78" s="10">
        <v>67.452904799601242</v>
      </c>
      <c r="I78" s="116">
        <f t="shared" si="7"/>
        <v>2379.1933547782751</v>
      </c>
      <c r="J78" s="116">
        <f t="shared" si="5"/>
        <v>106.22036790974255</v>
      </c>
      <c r="K78" s="165">
        <f t="shared" si="6"/>
        <v>1.594589990901938E-3</v>
      </c>
      <c r="O78" s="169"/>
      <c r="P78" s="87"/>
    </row>
    <row r="79" spans="1:16" x14ac:dyDescent="0.2">
      <c r="A79" s="500"/>
      <c r="B79" s="501"/>
      <c r="C79" s="501"/>
      <c r="D79" s="501"/>
      <c r="E79" s="535"/>
      <c r="F79" s="56" t="s">
        <v>185</v>
      </c>
      <c r="G79" s="168">
        <v>44.64553824362946</v>
      </c>
      <c r="H79" s="10">
        <v>84.316130999501539</v>
      </c>
      <c r="I79" s="116">
        <f t="shared" si="7"/>
        <v>3992.6474921141053</v>
      </c>
      <c r="J79" s="116">
        <f t="shared" si="5"/>
        <v>178.25389630251155</v>
      </c>
      <c r="K79" s="165">
        <f t="shared" si="6"/>
        <v>2.4915468607842771E-3</v>
      </c>
      <c r="O79" s="169"/>
      <c r="P79" s="87"/>
    </row>
    <row r="80" spans="1:16" x14ac:dyDescent="0.2">
      <c r="A80" s="500"/>
      <c r="B80" s="501"/>
      <c r="C80" s="501"/>
      <c r="D80" s="501"/>
      <c r="E80" s="535"/>
      <c r="F80" s="56" t="s">
        <v>311</v>
      </c>
      <c r="G80" s="168">
        <v>223.2276912181473</v>
      </c>
      <c r="H80" s="10">
        <v>59.021291699651087</v>
      </c>
      <c r="I80" s="116">
        <f t="shared" si="7"/>
        <v>1745.3736743915581</v>
      </c>
      <c r="J80" s="116">
        <f t="shared" si="5"/>
        <v>389.61573564736187</v>
      </c>
      <c r="K80" s="165">
        <f t="shared" si="6"/>
        <v>6.1042898089214807E-3</v>
      </c>
      <c r="O80" s="169"/>
      <c r="P80" s="87"/>
    </row>
    <row r="81" spans="1:16" x14ac:dyDescent="0.2">
      <c r="A81" s="500"/>
      <c r="B81" s="501"/>
      <c r="C81" s="501"/>
      <c r="D81" s="501"/>
      <c r="E81" s="535"/>
      <c r="F81" s="56" t="s">
        <v>295</v>
      </c>
      <c r="G81" s="168">
        <v>89.29107648725892</v>
      </c>
      <c r="H81" s="10">
        <v>71.668711349576313</v>
      </c>
      <c r="I81" s="116">
        <f t="shared" si="7"/>
        <v>2738.5008244078417</v>
      </c>
      <c r="J81" s="116">
        <f t="shared" si="5"/>
        <v>244.52368657262221</v>
      </c>
      <c r="K81" s="165">
        <f t="shared" si="6"/>
        <v>3.6002852138332809E-3</v>
      </c>
      <c r="O81" s="169"/>
      <c r="P81" s="87"/>
    </row>
    <row r="82" spans="1:16" x14ac:dyDescent="0.2">
      <c r="A82" s="500"/>
      <c r="B82" s="501"/>
      <c r="C82" s="501"/>
      <c r="D82" s="501"/>
      <c r="E82" s="535"/>
      <c r="F82" s="56" t="s">
        <v>312</v>
      </c>
      <c r="G82" s="168">
        <v>892.9107648725892</v>
      </c>
      <c r="H82" s="10">
        <v>67.452904799601242</v>
      </c>
      <c r="I82" s="116">
        <f t="shared" si="7"/>
        <v>2379.1933547782751</v>
      </c>
      <c r="J82" s="116">
        <f t="shared" si="5"/>
        <v>2124.407358194851</v>
      </c>
      <c r="K82" s="165">
        <f t="shared" si="6"/>
        <v>3.189179981803876E-2</v>
      </c>
      <c r="O82" s="169"/>
      <c r="P82" s="87"/>
    </row>
    <row r="83" spans="1:16" x14ac:dyDescent="0.2">
      <c r="A83" s="500"/>
      <c r="B83" s="501"/>
      <c r="C83" s="501"/>
      <c r="D83" s="501"/>
      <c r="E83" s="535"/>
      <c r="F83" s="56" t="s">
        <v>313</v>
      </c>
      <c r="G83" s="168">
        <v>223.2276912181473</v>
      </c>
      <c r="H83" s="10">
        <v>160.20064889905294</v>
      </c>
      <c r="I83" s="116">
        <f t="shared" si="7"/>
        <v>17699.839268095024</v>
      </c>
      <c r="J83" s="116">
        <f t="shared" si="5"/>
        <v>3951.0942547491541</v>
      </c>
      <c r="K83" s="165">
        <f t="shared" si="6"/>
        <v>4.4972420837156205E-2</v>
      </c>
      <c r="O83" s="169"/>
      <c r="P83" s="87"/>
    </row>
    <row r="84" spans="1:16" x14ac:dyDescent="0.2">
      <c r="A84" s="500"/>
      <c r="B84" s="501"/>
      <c r="C84" s="501"/>
      <c r="D84" s="501"/>
      <c r="E84" s="535"/>
      <c r="F84" s="56" t="s">
        <v>314</v>
      </c>
      <c r="G84" s="168">
        <v>133.93661473088838</v>
      </c>
      <c r="H84" s="10">
        <v>95.277228029436756</v>
      </c>
      <c r="I84" s="116">
        <f t="shared" si="7"/>
        <v>5301.5511663835205</v>
      </c>
      <c r="J84" s="116">
        <f t="shared" si="5"/>
        <v>710.07181604800155</v>
      </c>
      <c r="K84" s="165">
        <f t="shared" si="6"/>
        <v>9.5443685596063327E-3</v>
      </c>
      <c r="O84" s="169"/>
      <c r="P84" s="87"/>
    </row>
    <row r="85" spans="1:16" x14ac:dyDescent="0.2">
      <c r="A85" s="500"/>
      <c r="B85" s="501"/>
      <c r="C85" s="501"/>
      <c r="D85" s="501"/>
      <c r="E85" s="535"/>
      <c r="F85" s="56" t="s">
        <v>315</v>
      </c>
      <c r="G85" s="168">
        <v>982.20184135984834</v>
      </c>
      <c r="H85" s="10">
        <v>266.43897395842492</v>
      </c>
      <c r="I85" s="116">
        <f t="shared" si="7"/>
        <v>57614.924886411034</v>
      </c>
      <c r="J85" s="116">
        <f t="shared" si="5"/>
        <v>56589.485313242272</v>
      </c>
      <c r="K85" s="165">
        <f t="shared" si="6"/>
        <v>0.5473509873270449</v>
      </c>
      <c r="O85" s="169"/>
      <c r="P85" s="87"/>
    </row>
    <row r="86" spans="1:16" x14ac:dyDescent="0.2">
      <c r="A86" s="500"/>
      <c r="B86" s="501"/>
      <c r="C86" s="501"/>
      <c r="D86" s="501"/>
      <c r="E86" s="535"/>
      <c r="F86" s="56" t="s">
        <v>316</v>
      </c>
      <c r="G86" s="168">
        <v>223.2276912181473</v>
      </c>
      <c r="H86" s="10">
        <v>261.38000609845483</v>
      </c>
      <c r="I86" s="116">
        <f t="shared" si="7"/>
        <v>55108.691345053354</v>
      </c>
      <c r="J86" s="116">
        <f t="shared" si="5"/>
        <v>12301.785935009757</v>
      </c>
      <c r="K86" s="165">
        <f t="shared" si="6"/>
        <v>0.11971882666068456</v>
      </c>
      <c r="O86" s="169"/>
      <c r="P86" s="87"/>
    </row>
    <row r="87" spans="1:16" x14ac:dyDescent="0.2">
      <c r="A87" s="500"/>
      <c r="B87" s="501"/>
      <c r="C87" s="501"/>
      <c r="D87" s="501"/>
      <c r="E87" s="535"/>
      <c r="F87" s="56" t="s">
        <v>317</v>
      </c>
      <c r="G87" s="168">
        <v>223.2276912181473</v>
      </c>
      <c r="H87" s="10">
        <v>260.5368447884598</v>
      </c>
      <c r="I87" s="116">
        <f t="shared" si="7"/>
        <v>54697.142776500543</v>
      </c>
      <c r="J87" s="116">
        <f t="shared" si="5"/>
        <v>12209.916898227581</v>
      </c>
      <c r="K87" s="165">
        <f t="shared" si="6"/>
        <v>0.11894769290727183</v>
      </c>
      <c r="O87" s="169"/>
      <c r="P87" s="87"/>
    </row>
    <row r="88" spans="1:16" x14ac:dyDescent="0.2">
      <c r="A88" s="500"/>
      <c r="B88" s="501"/>
      <c r="C88" s="501"/>
      <c r="D88" s="501"/>
      <c r="E88" s="535"/>
      <c r="F88" s="56" t="s">
        <v>172</v>
      </c>
      <c r="G88" s="168">
        <v>491.10092067992417</v>
      </c>
      <c r="H88" s="10">
        <v>153.45535841909279</v>
      </c>
      <c r="I88" s="116">
        <f t="shared" si="7"/>
        <v>16018.674938164453</v>
      </c>
      <c r="J88" s="116">
        <f t="shared" si="5"/>
        <v>7866.7860102049908</v>
      </c>
      <c r="K88" s="165">
        <f t="shared" si="6"/>
        <v>9.0782998038280244E-2</v>
      </c>
      <c r="O88" s="169"/>
      <c r="P88" s="87"/>
    </row>
    <row r="89" spans="1:16" x14ac:dyDescent="0.2">
      <c r="A89" s="500"/>
      <c r="B89" s="501"/>
      <c r="C89" s="501"/>
      <c r="D89" s="501"/>
      <c r="E89" s="535"/>
      <c r="F89" s="56" t="s">
        <v>318</v>
      </c>
      <c r="G89" s="168">
        <v>468.7781515581093</v>
      </c>
      <c r="H89" s="10">
        <v>143.33742269915263</v>
      </c>
      <c r="I89" s="116">
        <f t="shared" si="7"/>
        <v>13674.216949202229</v>
      </c>
      <c r="J89" s="116">
        <f t="shared" si="5"/>
        <v>6410.1741454515895</v>
      </c>
      <c r="K89" s="165">
        <f t="shared" si="6"/>
        <v>7.560598949049889E-2</v>
      </c>
      <c r="O89" s="169"/>
      <c r="P89" s="87"/>
    </row>
    <row r="90" spans="1:16" x14ac:dyDescent="0.2">
      <c r="A90" s="500"/>
      <c r="B90" s="501"/>
      <c r="C90" s="501"/>
      <c r="D90" s="501"/>
      <c r="E90" s="535"/>
      <c r="F90" s="56" t="s">
        <v>319</v>
      </c>
      <c r="G90" s="168">
        <v>200.90492209633257</v>
      </c>
      <c r="H90" s="10">
        <v>236.08516679860435</v>
      </c>
      <c r="I90" s="116">
        <f t="shared" si="7"/>
        <v>43517.867051449684</v>
      </c>
      <c r="J90" s="116">
        <f t="shared" si="5"/>
        <v>8742.9536897700564</v>
      </c>
      <c r="K90" s="165">
        <f t="shared" si="6"/>
        <v>8.7901773248469317E-2</v>
      </c>
      <c r="O90" s="169"/>
      <c r="P90" s="87"/>
    </row>
    <row r="91" spans="1:16" x14ac:dyDescent="0.2">
      <c r="A91" s="500"/>
      <c r="B91" s="501"/>
      <c r="C91" s="501"/>
      <c r="D91" s="501"/>
      <c r="E91" s="535"/>
      <c r="F91" s="56" t="s">
        <v>320</v>
      </c>
      <c r="G91" s="168">
        <v>44.64553824362946</v>
      </c>
      <c r="H91" s="10">
        <v>261.38000609845483</v>
      </c>
      <c r="I91" s="116">
        <f t="shared" si="7"/>
        <v>55108.691345053354</v>
      </c>
      <c r="J91" s="116">
        <f t="shared" si="5"/>
        <v>2460.3571870019514</v>
      </c>
      <c r="K91" s="165">
        <f t="shared" si="6"/>
        <v>2.3943765332136911E-2</v>
      </c>
      <c r="O91" s="169"/>
      <c r="P91" s="87"/>
    </row>
    <row r="92" spans="1:16" x14ac:dyDescent="0.2">
      <c r="A92" s="162">
        <v>19</v>
      </c>
      <c r="B92" s="180"/>
      <c r="C92" s="180"/>
      <c r="D92" s="180" t="s">
        <v>37</v>
      </c>
      <c r="E92" s="481">
        <f>Assumptions!D79</f>
        <v>7884.7310000000007</v>
      </c>
      <c r="F92" s="56" t="s">
        <v>323</v>
      </c>
      <c r="G92" s="167">
        <v>0</v>
      </c>
      <c r="H92" s="10">
        <v>0</v>
      </c>
      <c r="I92" s="116">
        <v>0</v>
      </c>
      <c r="J92" s="116">
        <f t="shared" si="5"/>
        <v>0</v>
      </c>
      <c r="K92" s="165">
        <f t="shared" si="6"/>
        <v>0</v>
      </c>
      <c r="O92" s="11"/>
      <c r="P92" s="87"/>
    </row>
    <row r="93" spans="1:16" x14ac:dyDescent="0.2">
      <c r="A93" s="162">
        <v>20</v>
      </c>
      <c r="B93" s="180"/>
      <c r="C93" s="180"/>
      <c r="D93" s="180" t="s">
        <v>36</v>
      </c>
      <c r="E93" s="481">
        <f>Assumptions!D80</f>
        <v>2195.1750000000002</v>
      </c>
      <c r="F93" s="56" t="s">
        <v>323</v>
      </c>
      <c r="G93" s="167">
        <v>0</v>
      </c>
      <c r="H93" s="10">
        <v>0</v>
      </c>
      <c r="I93" s="116">
        <v>0</v>
      </c>
      <c r="J93" s="116">
        <f t="shared" si="5"/>
        <v>0</v>
      </c>
      <c r="K93" s="165">
        <f t="shared" si="6"/>
        <v>0</v>
      </c>
      <c r="O93" s="11"/>
      <c r="P93" s="87"/>
    </row>
    <row r="94" spans="1:16" x14ac:dyDescent="0.2">
      <c r="A94" s="162">
        <v>21</v>
      </c>
      <c r="B94" s="180"/>
      <c r="C94" s="180"/>
      <c r="D94" s="180" t="s">
        <v>37</v>
      </c>
      <c r="E94" s="481">
        <f>Assumptions!D81</f>
        <v>454.25200000000001</v>
      </c>
      <c r="F94" s="56" t="s">
        <v>323</v>
      </c>
      <c r="G94" s="167">
        <v>0</v>
      </c>
      <c r="H94" s="10">
        <v>0</v>
      </c>
      <c r="I94" s="116">
        <v>0</v>
      </c>
      <c r="J94" s="116">
        <f t="shared" si="5"/>
        <v>0</v>
      </c>
      <c r="K94" s="165">
        <f t="shared" si="6"/>
        <v>0</v>
      </c>
      <c r="O94" s="11"/>
      <c r="P94" s="87"/>
    </row>
    <row r="95" spans="1:16" x14ac:dyDescent="0.2">
      <c r="A95" s="500">
        <v>22</v>
      </c>
      <c r="B95" s="501"/>
      <c r="C95" s="501"/>
      <c r="D95" s="501" t="s">
        <v>35</v>
      </c>
      <c r="E95" s="535">
        <f>Assumptions!D82</f>
        <v>18064.454000000005</v>
      </c>
      <c r="F95" s="55" t="s">
        <v>175</v>
      </c>
      <c r="G95" s="167">
        <v>89.29107648725892</v>
      </c>
      <c r="H95" s="10">
        <v>60.225807856786815</v>
      </c>
      <c r="I95" s="116">
        <f t="shared" si="7"/>
        <v>1829.1272742043711</v>
      </c>
      <c r="J95" s="116">
        <f t="shared" si="5"/>
        <v>163.3247433459139</v>
      </c>
      <c r="K95" s="165">
        <f t="shared" si="6"/>
        <v>2.5423947559023237E-3</v>
      </c>
      <c r="O95" s="11"/>
      <c r="P95" s="87"/>
    </row>
    <row r="96" spans="1:16" x14ac:dyDescent="0.2">
      <c r="A96" s="500"/>
      <c r="B96" s="501"/>
      <c r="C96" s="501"/>
      <c r="D96" s="501"/>
      <c r="E96" s="535"/>
      <c r="F96" s="55" t="s">
        <v>172</v>
      </c>
      <c r="G96" s="167">
        <v>669.68307365444207</v>
      </c>
      <c r="H96" s="10">
        <v>151.7690357991028</v>
      </c>
      <c r="I96" s="116">
        <f t="shared" si="7"/>
        <v>15613.245199930194</v>
      </c>
      <c r="J96" s="116">
        <f t="shared" si="5"/>
        <v>10455.926035209715</v>
      </c>
      <c r="K96" s="165">
        <f t="shared" si="6"/>
        <v>0.12108917743411594</v>
      </c>
      <c r="O96" s="11"/>
      <c r="P96" s="87"/>
    </row>
    <row r="97" spans="1:16" x14ac:dyDescent="0.2">
      <c r="A97" s="500"/>
      <c r="B97" s="501"/>
      <c r="C97" s="501"/>
      <c r="D97" s="501"/>
      <c r="E97" s="535"/>
      <c r="F97" s="55" t="s">
        <v>202</v>
      </c>
      <c r="G97" s="167">
        <v>44.64553824362946</v>
      </c>
      <c r="H97" s="10">
        <v>105.1141099793786</v>
      </c>
      <c r="I97" s="116">
        <f t="shared" si="7"/>
        <v>6658.8889846800876</v>
      </c>
      <c r="J97" s="116">
        <f t="shared" si="5"/>
        <v>297.28968282561777</v>
      </c>
      <c r="K97" s="165">
        <f t="shared" si="6"/>
        <v>3.8723067633229069E-3</v>
      </c>
      <c r="O97" s="11"/>
      <c r="P97" s="87"/>
    </row>
    <row r="98" spans="1:16" x14ac:dyDescent="0.2">
      <c r="A98" s="500"/>
      <c r="B98" s="501"/>
      <c r="C98" s="501"/>
      <c r="D98" s="501"/>
      <c r="E98" s="535"/>
      <c r="F98" s="55" t="s">
        <v>177</v>
      </c>
      <c r="G98" s="167">
        <v>401.80984419266514</v>
      </c>
      <c r="H98" s="10">
        <v>87.126668699484938</v>
      </c>
      <c r="I98" s="116">
        <f t="shared" si="7"/>
        <v>4308.2290726825076</v>
      </c>
      <c r="J98" s="116">
        <f t="shared" si="5"/>
        <v>1731.0888524408685</v>
      </c>
      <c r="K98" s="165">
        <f t="shared" si="6"/>
        <v>2.3943765332136907E-2</v>
      </c>
      <c r="O98" s="11"/>
      <c r="P98" s="87"/>
    </row>
    <row r="99" spans="1:16" x14ac:dyDescent="0.2">
      <c r="A99" s="500"/>
      <c r="B99" s="501"/>
      <c r="C99" s="501"/>
      <c r="D99" s="501"/>
      <c r="E99" s="535"/>
      <c r="F99" s="55" t="s">
        <v>188</v>
      </c>
      <c r="G99" s="167">
        <v>312.51876770540628</v>
      </c>
      <c r="H99" s="10">
        <v>99.305665399412945</v>
      </c>
      <c r="I99" s="116">
        <f t="shared" si="7"/>
        <v>5836.1702691450682</v>
      </c>
      <c r="J99" s="116">
        <f t="shared" ref="J99:J102" si="8">(I99*G99)/1000</f>
        <v>1823.9127406321459</v>
      </c>
      <c r="K99" s="165">
        <f t="shared" si="6"/>
        <v>2.4193227616593219E-2</v>
      </c>
      <c r="O99" s="11"/>
      <c r="P99" s="87"/>
    </row>
    <row r="100" spans="1:16" x14ac:dyDescent="0.2">
      <c r="A100" s="500"/>
      <c r="B100" s="501"/>
      <c r="C100" s="501"/>
      <c r="D100" s="501"/>
      <c r="E100" s="535"/>
      <c r="F100" s="55" t="s">
        <v>173</v>
      </c>
      <c r="G100" s="167">
        <v>937.5563031162186</v>
      </c>
      <c r="H100" s="10">
        <v>44.165592428310333</v>
      </c>
      <c r="I100" s="116">
        <f t="shared" si="7"/>
        <v>890.72416380581069</v>
      </c>
      <c r="J100" s="116">
        <f t="shared" si="8"/>
        <v>835.10405411406089</v>
      </c>
      <c r="K100" s="165">
        <f t="shared" si="6"/>
        <v>1.4356055721661789E-2</v>
      </c>
      <c r="O100" s="11"/>
      <c r="P100" s="87"/>
    </row>
    <row r="101" spans="1:16" x14ac:dyDescent="0.2">
      <c r="A101" s="500"/>
      <c r="B101" s="501"/>
      <c r="C101" s="501"/>
      <c r="D101" s="501"/>
      <c r="E101" s="535"/>
      <c r="F101" s="55" t="s">
        <v>185</v>
      </c>
      <c r="G101" s="167">
        <v>267.87322946177676</v>
      </c>
      <c r="H101" s="10">
        <v>185.49548819890342</v>
      </c>
      <c r="I101" s="116">
        <f t="shared" si="7"/>
        <v>24870.332289041471</v>
      </c>
      <c r="J101" s="116">
        <f t="shared" si="8"/>
        <v>6662.0962280530421</v>
      </c>
      <c r="K101" s="165">
        <f t="shared" si="6"/>
        <v>7.2354520837175432E-2</v>
      </c>
      <c r="O101" s="11"/>
      <c r="P101" s="87"/>
    </row>
    <row r="102" spans="1:16" x14ac:dyDescent="0.2">
      <c r="A102" s="500"/>
      <c r="B102" s="501"/>
      <c r="C102" s="501"/>
      <c r="D102" s="501"/>
      <c r="E102" s="535"/>
      <c r="F102" s="55" t="s">
        <v>170</v>
      </c>
      <c r="G102" s="167">
        <v>89.29107648725892</v>
      </c>
      <c r="H102" s="10">
        <v>50.589678599700932</v>
      </c>
      <c r="I102" s="116">
        <f t="shared" si="7"/>
        <v>1220.5957943745968</v>
      </c>
      <c r="J102" s="116">
        <f t="shared" si="8"/>
        <v>108.98831243552868</v>
      </c>
      <c r="K102" s="165">
        <f t="shared" si="6"/>
        <v>1.7939137397646801E-3</v>
      </c>
      <c r="O102" s="11"/>
      <c r="P102" s="87"/>
    </row>
    <row r="103" spans="1:16" x14ac:dyDescent="0.2">
      <c r="E103" s="482"/>
    </row>
    <row r="104" spans="1:16" x14ac:dyDescent="0.2">
      <c r="A104">
        <v>2014</v>
      </c>
      <c r="E104" s="107"/>
    </row>
    <row r="105" spans="1:16" ht="26" x14ac:dyDescent="0.2">
      <c r="A105" s="499" t="s">
        <v>8</v>
      </c>
      <c r="B105" s="499" t="s">
        <v>169</v>
      </c>
      <c r="C105" s="499" t="s">
        <v>31</v>
      </c>
      <c r="D105" s="499" t="s">
        <v>32</v>
      </c>
      <c r="E105" s="158" t="s">
        <v>503</v>
      </c>
      <c r="F105" s="158" t="s">
        <v>494</v>
      </c>
      <c r="G105" s="158" t="s">
        <v>495</v>
      </c>
      <c r="H105" s="151" t="s">
        <v>496</v>
      </c>
      <c r="I105" s="151" t="s">
        <v>205</v>
      </c>
      <c r="J105" s="159" t="s">
        <v>497</v>
      </c>
      <c r="K105" s="160" t="s">
        <v>502</v>
      </c>
    </row>
    <row r="106" spans="1:16" x14ac:dyDescent="0.2">
      <c r="A106" s="500"/>
      <c r="B106" s="500"/>
      <c r="C106" s="500"/>
      <c r="D106" s="500"/>
      <c r="E106" s="162" t="s">
        <v>499</v>
      </c>
      <c r="F106" s="55"/>
      <c r="G106" s="10"/>
      <c r="H106" s="38" t="s">
        <v>500</v>
      </c>
      <c r="I106" s="159" t="s">
        <v>501</v>
      </c>
      <c r="J106" s="159"/>
      <c r="K106" s="163"/>
    </row>
    <row r="107" spans="1:16" x14ac:dyDescent="0.2">
      <c r="A107" s="500">
        <v>1</v>
      </c>
      <c r="B107" s="500"/>
      <c r="C107" s="500"/>
      <c r="D107" s="500" t="s">
        <v>34</v>
      </c>
      <c r="E107" s="535">
        <f>Assumptions!D61</f>
        <v>183.761</v>
      </c>
      <c r="F107" s="56" t="s">
        <v>292</v>
      </c>
      <c r="G107" s="164">
        <v>44.484574323380393</v>
      </c>
      <c r="H107" s="38">
        <v>69.470726738050857</v>
      </c>
      <c r="I107" s="116">
        <f>EXP(-1.996+2.32*LN(H107))</f>
        <v>2547.5838539341012</v>
      </c>
      <c r="J107" s="116">
        <f t="shared" ref="J107:J138" si="9">(I107*G107)/1000</f>
        <v>113.32818329537538</v>
      </c>
      <c r="K107" s="165">
        <f t="shared" ref="K107:K138" si="10">0.00000001*3.14*(H107/2)^2*G107</f>
        <v>1.6853215730659333E-3</v>
      </c>
    </row>
    <row r="108" spans="1:16" x14ac:dyDescent="0.2">
      <c r="A108" s="500"/>
      <c r="B108" s="500"/>
      <c r="C108" s="500"/>
      <c r="D108" s="500"/>
      <c r="E108" s="535"/>
      <c r="F108" s="56" t="s">
        <v>293</v>
      </c>
      <c r="G108" s="167">
        <v>87.798501954040233</v>
      </c>
      <c r="H108" s="38">
        <v>52.175110122768487</v>
      </c>
      <c r="I108" s="116">
        <f t="shared" ref="I108:I119" si="11">EXP(-1.996+2.32*LN(H108))</f>
        <v>1311.1827973398415</v>
      </c>
      <c r="J108" s="116">
        <f t="shared" si="9"/>
        <v>115.11988539434601</v>
      </c>
      <c r="K108" s="165">
        <f t="shared" si="10"/>
        <v>1.876218921189454E-3</v>
      </c>
    </row>
    <row r="109" spans="1:16" x14ac:dyDescent="0.2">
      <c r="A109" s="500"/>
      <c r="B109" s="500"/>
      <c r="C109" s="500"/>
      <c r="D109" s="500"/>
      <c r="E109" s="535"/>
      <c r="F109" s="56" t="s">
        <v>294</v>
      </c>
      <c r="G109" s="164">
        <v>747.1652516288824</v>
      </c>
      <c r="H109" s="38">
        <v>47.851205968947895</v>
      </c>
      <c r="I109" s="116">
        <f t="shared" si="11"/>
        <v>1072.7529394879894</v>
      </c>
      <c r="J109" s="116">
        <f t="shared" si="9"/>
        <v>801.5237199681668</v>
      </c>
      <c r="K109" s="165">
        <f t="shared" si="10"/>
        <v>1.3429878938995879E-2</v>
      </c>
    </row>
    <row r="110" spans="1:16" x14ac:dyDescent="0.2">
      <c r="A110" s="500"/>
      <c r="B110" s="500"/>
      <c r="C110" s="500"/>
      <c r="D110" s="500"/>
      <c r="E110" s="535"/>
      <c r="F110" s="56" t="s">
        <v>295</v>
      </c>
      <c r="G110" s="168">
        <v>175.88966558126069</v>
      </c>
      <c r="H110" s="38">
        <v>71.776808953421849</v>
      </c>
      <c r="I110" s="116">
        <f t="shared" si="11"/>
        <v>2748.0930529202728</v>
      </c>
      <c r="J110" s="116">
        <f t="shared" si="9"/>
        <v>483.3611680643325</v>
      </c>
      <c r="K110" s="165">
        <f t="shared" si="10"/>
        <v>7.1134170760897729E-3</v>
      </c>
    </row>
    <row r="111" spans="1:16" x14ac:dyDescent="0.2">
      <c r="A111" s="500"/>
      <c r="B111" s="500"/>
      <c r="C111" s="500"/>
      <c r="D111" s="500"/>
      <c r="E111" s="535"/>
      <c r="F111" s="56" t="s">
        <v>296</v>
      </c>
      <c r="G111" s="168">
        <v>87.798501954040233</v>
      </c>
      <c r="H111" s="38">
        <v>73.506370614950058</v>
      </c>
      <c r="I111" s="116">
        <f t="shared" si="11"/>
        <v>2904.1708875570816</v>
      </c>
      <c r="J111" s="116">
        <f t="shared" si="9"/>
        <v>254.98185334604719</v>
      </c>
      <c r="K111" s="165">
        <f t="shared" si="10"/>
        <v>3.7239747062160554E-3</v>
      </c>
    </row>
    <row r="112" spans="1:16" x14ac:dyDescent="0.2">
      <c r="A112" s="500"/>
      <c r="B112" s="500"/>
      <c r="C112" s="500"/>
      <c r="D112" s="500"/>
      <c r="E112" s="535"/>
      <c r="F112" s="56" t="s">
        <v>297</v>
      </c>
      <c r="G112" s="168">
        <v>43.606589303839989</v>
      </c>
      <c r="H112" s="38">
        <v>61.687699261173776</v>
      </c>
      <c r="I112" s="116">
        <f t="shared" si="11"/>
        <v>1933.7881880464099</v>
      </c>
      <c r="J112" s="116">
        <f t="shared" si="9"/>
        <v>84.325907316756698</v>
      </c>
      <c r="K112" s="165">
        <f t="shared" si="10"/>
        <v>1.3026235397275256E-3</v>
      </c>
    </row>
    <row r="113" spans="1:11" x14ac:dyDescent="0.2">
      <c r="A113" s="500"/>
      <c r="B113" s="500"/>
      <c r="C113" s="500"/>
      <c r="D113" s="500"/>
      <c r="E113" s="535"/>
      <c r="F113" s="56" t="s">
        <v>298</v>
      </c>
      <c r="G113" s="168">
        <v>87.798501954040233</v>
      </c>
      <c r="H113" s="38">
        <v>53.616411507375346</v>
      </c>
      <c r="I113" s="116">
        <f t="shared" si="11"/>
        <v>1396.7509633369666</v>
      </c>
      <c r="J113" s="116">
        <f t="shared" si="9"/>
        <v>122.63264218384823</v>
      </c>
      <c r="K113" s="165">
        <f t="shared" si="10"/>
        <v>1.9813091724144665E-3</v>
      </c>
    </row>
    <row r="114" spans="1:11" x14ac:dyDescent="0.2">
      <c r="A114" s="500"/>
      <c r="B114" s="500"/>
      <c r="C114" s="500"/>
      <c r="D114" s="500"/>
      <c r="E114" s="535"/>
      <c r="F114" s="56" t="s">
        <v>299</v>
      </c>
      <c r="G114" s="168">
        <v>44.191912650200258</v>
      </c>
      <c r="H114" s="38">
        <v>49.292507353554754</v>
      </c>
      <c r="I114" s="116">
        <f t="shared" si="11"/>
        <v>1149.2113989763316</v>
      </c>
      <c r="J114" s="116">
        <f t="shared" si="9"/>
        <v>50.785849760176482</v>
      </c>
      <c r="K114" s="165">
        <f t="shared" si="10"/>
        <v>8.428965475870318E-4</v>
      </c>
    </row>
    <row r="115" spans="1:11" x14ac:dyDescent="0.2">
      <c r="A115" s="500"/>
      <c r="B115" s="500"/>
      <c r="C115" s="500"/>
      <c r="D115" s="500"/>
      <c r="E115" s="535"/>
      <c r="F115" s="56" t="s">
        <v>300</v>
      </c>
      <c r="G115" s="168">
        <v>527.08367339742165</v>
      </c>
      <c r="H115" s="38">
        <v>53.904671784296717</v>
      </c>
      <c r="I115" s="116">
        <f t="shared" si="11"/>
        <v>1414.234658161593</v>
      </c>
      <c r="J115" s="116">
        <f t="shared" si="9"/>
        <v>745.41999866975937</v>
      </c>
      <c r="K115" s="165">
        <f t="shared" si="10"/>
        <v>1.202270062153051E-2</v>
      </c>
    </row>
    <row r="116" spans="1:11" x14ac:dyDescent="0.2">
      <c r="A116" s="500"/>
      <c r="B116" s="500"/>
      <c r="C116" s="500"/>
      <c r="D116" s="500"/>
      <c r="E116" s="535"/>
      <c r="F116" s="56" t="s">
        <v>301</v>
      </c>
      <c r="G116" s="168">
        <v>87.505840280860113</v>
      </c>
      <c r="H116" s="38">
        <v>104.63848052245834</v>
      </c>
      <c r="I116" s="116">
        <f t="shared" si="11"/>
        <v>6589.1943757573918</v>
      </c>
      <c r="J116" s="116">
        <f t="shared" si="9"/>
        <v>576.59299062456807</v>
      </c>
      <c r="K116" s="165">
        <f t="shared" si="10"/>
        <v>7.5212417017019974E-3</v>
      </c>
    </row>
    <row r="117" spans="1:11" x14ac:dyDescent="0.2">
      <c r="A117" s="500"/>
      <c r="B117" s="500"/>
      <c r="C117" s="500"/>
      <c r="D117" s="500"/>
      <c r="E117" s="535"/>
      <c r="F117" s="56" t="s">
        <v>302</v>
      </c>
      <c r="G117" s="168">
        <v>307.58741851232094</v>
      </c>
      <c r="H117" s="38">
        <v>109.53890523012167</v>
      </c>
      <c r="I117" s="116">
        <f t="shared" si="11"/>
        <v>7327.3492657135894</v>
      </c>
      <c r="J117" s="116">
        <f t="shared" si="9"/>
        <v>2253.8004451789934</v>
      </c>
      <c r="K117" s="165">
        <f t="shared" si="10"/>
        <v>2.897176916078718E-2</v>
      </c>
    </row>
    <row r="118" spans="1:11" x14ac:dyDescent="0.2">
      <c r="A118" s="500"/>
      <c r="B118" s="500"/>
      <c r="C118" s="500"/>
      <c r="D118" s="500"/>
      <c r="E118" s="535"/>
      <c r="F118" s="56" t="s">
        <v>303</v>
      </c>
      <c r="G118" s="168">
        <v>394.80059712000099</v>
      </c>
      <c r="H118" s="38">
        <v>108.3858641224362</v>
      </c>
      <c r="I118" s="116">
        <f t="shared" si="11"/>
        <v>7149.6494583919311</v>
      </c>
      <c r="J118" s="116">
        <f t="shared" si="9"/>
        <v>2822.6858753718257</v>
      </c>
      <c r="K118" s="165">
        <f t="shared" si="10"/>
        <v>3.6407658297630957E-2</v>
      </c>
    </row>
    <row r="119" spans="1:11" x14ac:dyDescent="0.2">
      <c r="A119" s="500"/>
      <c r="B119" s="500"/>
      <c r="C119" s="500"/>
      <c r="D119" s="500"/>
      <c r="E119" s="535"/>
      <c r="F119" s="56" t="s">
        <v>304</v>
      </c>
      <c r="G119" s="168">
        <v>43.606589303839989</v>
      </c>
      <c r="H119" s="38">
        <v>87.054603630254604</v>
      </c>
      <c r="I119" s="116">
        <f t="shared" si="11"/>
        <v>4299.9663468325261</v>
      </c>
      <c r="J119" s="116">
        <f t="shared" si="9"/>
        <v>187.50686650665912</v>
      </c>
      <c r="K119" s="165">
        <f t="shared" si="10"/>
        <v>2.594210789529856E-3</v>
      </c>
    </row>
    <row r="120" spans="1:11" x14ac:dyDescent="0.2">
      <c r="A120" s="500">
        <v>2</v>
      </c>
      <c r="B120" s="500"/>
      <c r="C120" s="500"/>
      <c r="D120" s="500" t="s">
        <v>35</v>
      </c>
      <c r="E120" s="535">
        <f>Assumptions!D62</f>
        <v>6772.8780000000015</v>
      </c>
      <c r="F120" s="55" t="s">
        <v>173</v>
      </c>
      <c r="G120" s="167">
        <v>72.872756621853412</v>
      </c>
      <c r="H120" s="10">
        <v>100.89109692248049</v>
      </c>
      <c r="I120" s="116">
        <f>EXP(-1.996+2.32*LN(H120))</f>
        <v>6054.6188947795417</v>
      </c>
      <c r="J120" s="116">
        <f t="shared" si="9"/>
        <v>441.21676915734463</v>
      </c>
      <c r="K120" s="165">
        <f t="shared" si="10"/>
        <v>5.8229162361325276E-3</v>
      </c>
    </row>
    <row r="121" spans="1:11" x14ac:dyDescent="0.2">
      <c r="A121" s="500"/>
      <c r="B121" s="501"/>
      <c r="C121" s="501"/>
      <c r="D121" s="501"/>
      <c r="E121" s="535"/>
      <c r="F121" s="55" t="s">
        <v>170</v>
      </c>
      <c r="G121" s="167">
        <v>146.6234982632472</v>
      </c>
      <c r="H121" s="10">
        <v>69.182466461129479</v>
      </c>
      <c r="I121" s="116">
        <f t="shared" ref="I121:I184" si="12">EXP(-1.996+2.32*LN(H121))</f>
        <v>2523.1265279280765</v>
      </c>
      <c r="J121" s="116">
        <f t="shared" si="9"/>
        <v>369.94963808561522</v>
      </c>
      <c r="K121" s="165">
        <f t="shared" si="10"/>
        <v>5.5089054200743543E-3</v>
      </c>
    </row>
    <row r="122" spans="1:11" x14ac:dyDescent="0.2">
      <c r="A122" s="500"/>
      <c r="B122" s="501"/>
      <c r="C122" s="501"/>
      <c r="D122" s="501"/>
      <c r="E122" s="535"/>
      <c r="F122" s="55" t="s">
        <v>171</v>
      </c>
      <c r="G122" s="167">
        <v>658.48876465530191</v>
      </c>
      <c r="H122" s="10">
        <v>95.12589138405302</v>
      </c>
      <c r="I122" s="116">
        <f t="shared" si="12"/>
        <v>5282.0351809555696</v>
      </c>
      <c r="J122" s="116">
        <f t="shared" si="9"/>
        <v>3478.1608211732773</v>
      </c>
      <c r="K122" s="165">
        <f t="shared" si="10"/>
        <v>4.6775184026173991E-2</v>
      </c>
    </row>
    <row r="123" spans="1:11" x14ac:dyDescent="0.2">
      <c r="A123" s="500"/>
      <c r="B123" s="501"/>
      <c r="C123" s="501"/>
      <c r="D123" s="501"/>
      <c r="E123" s="535"/>
      <c r="F123" s="55" t="s">
        <v>172</v>
      </c>
      <c r="G123" s="167">
        <v>373.14363330467108</v>
      </c>
      <c r="H123" s="10">
        <v>109.53890523012167</v>
      </c>
      <c r="I123" s="116">
        <f t="shared" si="12"/>
        <v>7327.3492657135894</v>
      </c>
      <c r="J123" s="116">
        <f t="shared" si="9"/>
        <v>2734.1537275006826</v>
      </c>
      <c r="K123" s="165">
        <f t="shared" si="10"/>
        <v>3.5146532521411672E-2</v>
      </c>
    </row>
    <row r="124" spans="1:11" x14ac:dyDescent="0.2">
      <c r="A124" s="500">
        <v>3</v>
      </c>
      <c r="B124" s="501"/>
      <c r="C124" s="501"/>
      <c r="D124" s="501" t="s">
        <v>35</v>
      </c>
      <c r="E124" s="535">
        <f>Assumptions!D63</f>
        <v>4319.8270000000002</v>
      </c>
      <c r="F124" s="55" t="s">
        <v>174</v>
      </c>
      <c r="G124" s="167">
        <v>87.798501954040233</v>
      </c>
      <c r="H124" s="10">
        <v>211.871303537209</v>
      </c>
      <c r="I124" s="116">
        <f t="shared" si="12"/>
        <v>33855.994514621598</v>
      </c>
      <c r="J124" s="116">
        <f t="shared" si="9"/>
        <v>2972.5056005479796</v>
      </c>
      <c r="K124" s="165">
        <f t="shared" si="10"/>
        <v>3.0938627230535466E-2</v>
      </c>
    </row>
    <row r="125" spans="1:11" x14ac:dyDescent="0.2">
      <c r="A125" s="500"/>
      <c r="B125" s="501"/>
      <c r="C125" s="501"/>
      <c r="D125" s="501"/>
      <c r="E125" s="535"/>
      <c r="F125" s="55" t="s">
        <v>175</v>
      </c>
      <c r="G125" s="167">
        <v>43.899250977020117</v>
      </c>
      <c r="H125" s="10">
        <v>51.886849845847109</v>
      </c>
      <c r="I125" s="116">
        <f t="shared" si="12"/>
        <v>1294.4377229697682</v>
      </c>
      <c r="J125" s="116">
        <f t="shared" si="9"/>
        <v>56.824846474772293</v>
      </c>
      <c r="K125" s="165">
        <f t="shared" si="10"/>
        <v>9.2777224514725275E-4</v>
      </c>
    </row>
    <row r="126" spans="1:11" x14ac:dyDescent="0.2">
      <c r="A126" s="500"/>
      <c r="B126" s="501"/>
      <c r="C126" s="501"/>
      <c r="D126" s="501"/>
      <c r="E126" s="535"/>
      <c r="F126" s="55" t="s">
        <v>176</v>
      </c>
      <c r="G126" s="167">
        <v>43.899250977020117</v>
      </c>
      <c r="H126" s="10">
        <v>259.43424922923555</v>
      </c>
      <c r="I126" s="116">
        <f t="shared" si="12"/>
        <v>54161.610652961004</v>
      </c>
      <c r="J126" s="116">
        <f t="shared" si="9"/>
        <v>2377.6541393739813</v>
      </c>
      <c r="K126" s="165">
        <f t="shared" si="10"/>
        <v>2.3194306128681324E-2</v>
      </c>
    </row>
    <row r="127" spans="1:11" x14ac:dyDescent="0.2">
      <c r="A127" s="500"/>
      <c r="B127" s="501"/>
      <c r="C127" s="501"/>
      <c r="D127" s="501"/>
      <c r="E127" s="535"/>
      <c r="F127" s="55" t="s">
        <v>177</v>
      </c>
      <c r="G127" s="167">
        <v>43.899250977020117</v>
      </c>
      <c r="H127" s="10">
        <v>164.30835784518248</v>
      </c>
      <c r="I127" s="116">
        <f t="shared" si="12"/>
        <v>18770.619843781271</v>
      </c>
      <c r="J127" s="116">
        <f t="shared" si="9"/>
        <v>824.01615151638816</v>
      </c>
      <c r="K127" s="165">
        <f t="shared" si="10"/>
        <v>9.3034939027266152E-3</v>
      </c>
    </row>
    <row r="128" spans="1:11" x14ac:dyDescent="0.2">
      <c r="A128" s="500">
        <v>4</v>
      </c>
      <c r="B128" s="501"/>
      <c r="C128" s="501"/>
      <c r="D128" s="501" t="s">
        <v>34</v>
      </c>
      <c r="E128" s="535">
        <f>Assumptions!D64</f>
        <v>1612.0500000000002</v>
      </c>
      <c r="F128" s="56" t="s">
        <v>305</v>
      </c>
      <c r="G128" s="167">
        <v>702.38801563232187</v>
      </c>
      <c r="H128" s="10">
        <v>60.534658153488294</v>
      </c>
      <c r="I128" s="116">
        <f t="shared" si="12"/>
        <v>1850.9628946971625</v>
      </c>
      <c r="J128" s="116">
        <f t="shared" si="9"/>
        <v>1300.0941546153983</v>
      </c>
      <c r="K128" s="165">
        <f t="shared" si="10"/>
        <v>2.020481778320684E-2</v>
      </c>
    </row>
    <row r="129" spans="1:11" x14ac:dyDescent="0.2">
      <c r="A129" s="500"/>
      <c r="B129" s="501"/>
      <c r="C129" s="501"/>
      <c r="D129" s="501"/>
      <c r="E129" s="535"/>
      <c r="F129" s="56" t="s">
        <v>306</v>
      </c>
      <c r="G129" s="167">
        <v>219.4962548851006</v>
      </c>
      <c r="H129" s="10">
        <v>47.56294569202651</v>
      </c>
      <c r="I129" s="116">
        <f t="shared" si="12"/>
        <v>1057.8198189580389</v>
      </c>
      <c r="J129" s="116">
        <f t="shared" si="9"/>
        <v>232.18748860452467</v>
      </c>
      <c r="K129" s="165">
        <f t="shared" si="10"/>
        <v>3.8979320021811652E-3</v>
      </c>
    </row>
    <row r="130" spans="1:11" x14ac:dyDescent="0.2">
      <c r="A130" s="500"/>
      <c r="B130" s="501"/>
      <c r="C130" s="501"/>
      <c r="D130" s="501"/>
      <c r="E130" s="535"/>
      <c r="F130" s="56" t="s">
        <v>307</v>
      </c>
      <c r="G130" s="167">
        <v>2238.8617998280265</v>
      </c>
      <c r="H130" s="10">
        <v>48.427726522790635</v>
      </c>
      <c r="I130" s="116">
        <f t="shared" si="12"/>
        <v>1102.9770666462796</v>
      </c>
      <c r="J130" s="116">
        <f t="shared" si="9"/>
        <v>2469.4132206007266</v>
      </c>
      <c r="K130" s="165">
        <f t="shared" si="10"/>
        <v>4.1217828277741959E-2</v>
      </c>
    </row>
    <row r="131" spans="1:11" ht="26" x14ac:dyDescent="0.2">
      <c r="A131" s="162">
        <v>5</v>
      </c>
      <c r="B131" s="170"/>
      <c r="C131" s="6"/>
      <c r="D131" s="6" t="s">
        <v>34</v>
      </c>
      <c r="E131" s="171">
        <f>Assumptions!D65</f>
        <v>353.58800000000002</v>
      </c>
      <c r="F131" s="56" t="s">
        <v>323</v>
      </c>
      <c r="G131" s="167">
        <v>0</v>
      </c>
      <c r="H131" s="10">
        <v>0</v>
      </c>
      <c r="I131" s="116">
        <v>0</v>
      </c>
      <c r="J131" s="116">
        <f t="shared" si="9"/>
        <v>0</v>
      </c>
      <c r="K131" s="165">
        <f t="shared" si="10"/>
        <v>0</v>
      </c>
    </row>
    <row r="132" spans="1:11" x14ac:dyDescent="0.2">
      <c r="A132" s="500">
        <v>6</v>
      </c>
      <c r="B132" s="501"/>
      <c r="C132" s="501"/>
      <c r="D132" s="501" t="s">
        <v>35</v>
      </c>
      <c r="E132" s="535">
        <f>Assumptions!D66</f>
        <v>4915.7929999999997</v>
      </c>
      <c r="F132" s="55" t="s">
        <v>178</v>
      </c>
      <c r="G132" s="167">
        <v>790.18651758636213</v>
      </c>
      <c r="H132" s="10">
        <v>76.304190949775133</v>
      </c>
      <c r="I132" s="116">
        <f t="shared" si="12"/>
        <v>3167.090571268006</v>
      </c>
      <c r="J132" s="116">
        <f t="shared" si="9"/>
        <v>2502.5922693908678</v>
      </c>
      <c r="K132" s="165">
        <f t="shared" si="10"/>
        <v>3.6115701584451862E-2</v>
      </c>
    </row>
    <row r="133" spans="1:11" x14ac:dyDescent="0.2">
      <c r="A133" s="500"/>
      <c r="B133" s="501"/>
      <c r="C133" s="501"/>
      <c r="D133" s="501"/>
      <c r="E133" s="535"/>
      <c r="F133" s="55" t="s">
        <v>179</v>
      </c>
      <c r="G133" s="167">
        <v>526.79101172424146</v>
      </c>
      <c r="H133" s="10">
        <v>64.858562307308887</v>
      </c>
      <c r="I133" s="116">
        <f t="shared" si="12"/>
        <v>2172.2629301790325</v>
      </c>
      <c r="J133" s="116">
        <f t="shared" si="9"/>
        <v>1144.3285867200777</v>
      </c>
      <c r="K133" s="165">
        <f t="shared" si="10"/>
        <v>1.7395729596510996E-2</v>
      </c>
    </row>
    <row r="134" spans="1:11" x14ac:dyDescent="0.2">
      <c r="A134" s="500"/>
      <c r="B134" s="501"/>
      <c r="C134" s="501"/>
      <c r="D134" s="501"/>
      <c r="E134" s="535"/>
      <c r="F134" s="55" t="s">
        <v>175</v>
      </c>
      <c r="G134" s="167">
        <v>1316.9775293106038</v>
      </c>
      <c r="H134" s="10">
        <v>34.59123323056474</v>
      </c>
      <c r="I134" s="116">
        <f t="shared" si="12"/>
        <v>505.30016471761815</v>
      </c>
      <c r="J134" s="116">
        <f t="shared" si="9"/>
        <v>665.46896249004988</v>
      </c>
      <c r="K134" s="165">
        <f t="shared" si="10"/>
        <v>1.2370296601963373E-2</v>
      </c>
    </row>
    <row r="135" spans="1:11" x14ac:dyDescent="0.2">
      <c r="A135" s="500"/>
      <c r="B135" s="501"/>
      <c r="C135" s="501"/>
      <c r="D135" s="501"/>
      <c r="E135" s="535"/>
      <c r="F135" s="55" t="s">
        <v>180</v>
      </c>
      <c r="G135" s="167">
        <v>87.798501954040233</v>
      </c>
      <c r="H135" s="10">
        <v>86.478083076411835</v>
      </c>
      <c r="I135" s="116">
        <f t="shared" si="12"/>
        <v>4234.1891985308739</v>
      </c>
      <c r="J135" s="116">
        <f t="shared" si="9"/>
        <v>371.75546862098901</v>
      </c>
      <c r="K135" s="165">
        <f t="shared" si="10"/>
        <v>5.1542902508180692E-3</v>
      </c>
    </row>
    <row r="136" spans="1:11" x14ac:dyDescent="0.2">
      <c r="A136" s="500"/>
      <c r="B136" s="501"/>
      <c r="C136" s="501"/>
      <c r="D136" s="501"/>
      <c r="E136" s="535"/>
      <c r="F136" s="55" t="s">
        <v>181</v>
      </c>
      <c r="G136" s="167">
        <v>87.798501954040233</v>
      </c>
      <c r="H136" s="10">
        <v>138.36493292225896</v>
      </c>
      <c r="I136" s="116">
        <f t="shared" si="12"/>
        <v>12598.783694226693</v>
      </c>
      <c r="J136" s="116">
        <f t="shared" si="9"/>
        <v>1106.1543347960924</v>
      </c>
      <c r="K136" s="165">
        <f t="shared" si="10"/>
        <v>1.3194983042094261E-2</v>
      </c>
    </row>
    <row r="137" spans="1:11" ht="26" x14ac:dyDescent="0.2">
      <c r="A137" s="162">
        <v>7</v>
      </c>
      <c r="B137" s="170"/>
      <c r="C137" s="6"/>
      <c r="D137" s="6" t="s">
        <v>34</v>
      </c>
      <c r="E137" s="171">
        <f>Assumptions!D67</f>
        <v>2549.9479999999994</v>
      </c>
      <c r="F137" s="56" t="s">
        <v>323</v>
      </c>
      <c r="G137" s="167">
        <v>0</v>
      </c>
      <c r="H137" s="10">
        <v>0</v>
      </c>
      <c r="I137" s="116">
        <v>0</v>
      </c>
      <c r="J137" s="116">
        <f t="shared" si="9"/>
        <v>0</v>
      </c>
      <c r="K137" s="165">
        <f t="shared" si="10"/>
        <v>0</v>
      </c>
    </row>
    <row r="138" spans="1:11" x14ac:dyDescent="0.2">
      <c r="A138" s="162">
        <v>8</v>
      </c>
      <c r="B138" s="170"/>
      <c r="C138" s="6"/>
      <c r="D138" s="6" t="s">
        <v>36</v>
      </c>
      <c r="E138" s="171">
        <f>Assumptions!D68</f>
        <v>741.26900000000001</v>
      </c>
      <c r="F138" s="56" t="s">
        <v>323</v>
      </c>
      <c r="G138" s="167">
        <v>0</v>
      </c>
      <c r="H138" s="10">
        <v>0</v>
      </c>
      <c r="I138" s="116">
        <v>0</v>
      </c>
      <c r="J138" s="116">
        <f t="shared" si="9"/>
        <v>0</v>
      </c>
      <c r="K138" s="165">
        <f t="shared" si="10"/>
        <v>0</v>
      </c>
    </row>
    <row r="139" spans="1:11" x14ac:dyDescent="0.2">
      <c r="A139" s="500">
        <v>9</v>
      </c>
      <c r="B139" s="501"/>
      <c r="C139" s="501"/>
      <c r="D139" s="501" t="s">
        <v>35</v>
      </c>
      <c r="E139" s="535">
        <f>Assumptions!D69</f>
        <v>8643.7000000000025</v>
      </c>
      <c r="F139" s="55" t="s">
        <v>173</v>
      </c>
      <c r="G139" s="167">
        <v>307.29475683914086</v>
      </c>
      <c r="H139" s="10">
        <v>59.2992569666824</v>
      </c>
      <c r="I139" s="116">
        <f t="shared" si="12"/>
        <v>1764.5033117264052</v>
      </c>
      <c r="J139" s="116">
        <f t="shared" ref="J139:J170" si="13">(I139*G139)/1000</f>
        <v>542.22261611882448</v>
      </c>
      <c r="K139" s="165">
        <f t="shared" ref="K139:K170" si="14">0.00000001*3.14*(H139/2)^2*G139</f>
        <v>8.4824890984891658E-3</v>
      </c>
    </row>
    <row r="140" spans="1:11" x14ac:dyDescent="0.2">
      <c r="A140" s="500"/>
      <c r="B140" s="501"/>
      <c r="C140" s="501"/>
      <c r="D140" s="501"/>
      <c r="E140" s="535"/>
      <c r="F140" s="55" t="s">
        <v>182</v>
      </c>
      <c r="G140" s="167">
        <v>307.29475683914086</v>
      </c>
      <c r="H140" s="10">
        <v>216.19520769102957</v>
      </c>
      <c r="I140" s="116">
        <f t="shared" si="12"/>
        <v>35480.61018142481</v>
      </c>
      <c r="J140" s="116">
        <f t="shared" si="13"/>
        <v>10903.005478205283</v>
      </c>
      <c r="K140" s="165">
        <f t="shared" si="14"/>
        <v>0.11275009923664527</v>
      </c>
    </row>
    <row r="141" spans="1:11" x14ac:dyDescent="0.2">
      <c r="A141" s="500"/>
      <c r="B141" s="501"/>
      <c r="C141" s="501"/>
      <c r="D141" s="501"/>
      <c r="E141" s="535"/>
      <c r="F141" s="55" t="s">
        <v>172</v>
      </c>
      <c r="G141" s="167">
        <v>307.29475683914086</v>
      </c>
      <c r="H141" s="10">
        <v>168.01456140560015</v>
      </c>
      <c r="I141" s="116">
        <f t="shared" si="12"/>
        <v>19767.560402332347</v>
      </c>
      <c r="J141" s="116">
        <f t="shared" si="13"/>
        <v>6074.4676671377474</v>
      </c>
      <c r="K141" s="165">
        <f t="shared" si="14"/>
        <v>6.8095537485093588E-2</v>
      </c>
    </row>
    <row r="142" spans="1:11" x14ac:dyDescent="0.2">
      <c r="A142" s="500"/>
      <c r="B142" s="501"/>
      <c r="C142" s="501"/>
      <c r="D142" s="501"/>
      <c r="E142" s="535"/>
      <c r="F142" s="55" t="s">
        <v>183</v>
      </c>
      <c r="G142" s="167">
        <v>175.59700390808047</v>
      </c>
      <c r="H142" s="10">
        <v>56.210753999667702</v>
      </c>
      <c r="I142" s="116">
        <f t="shared" si="12"/>
        <v>1558.5805323998279</v>
      </c>
      <c r="J142" s="116">
        <f t="shared" si="13"/>
        <v>273.68207183887068</v>
      </c>
      <c r="K142" s="165">
        <f t="shared" si="14"/>
        <v>4.3553752619412698E-3</v>
      </c>
    </row>
    <row r="143" spans="1:11" x14ac:dyDescent="0.2">
      <c r="A143" s="500"/>
      <c r="B143" s="501"/>
      <c r="C143" s="501"/>
      <c r="D143" s="501"/>
      <c r="E143" s="535"/>
      <c r="F143" s="55" t="s">
        <v>184</v>
      </c>
      <c r="G143" s="167">
        <v>87.798501954040233</v>
      </c>
      <c r="H143" s="10">
        <v>181.60397446046488</v>
      </c>
      <c r="I143" s="116">
        <f t="shared" si="12"/>
        <v>23676.58291472877</v>
      </c>
      <c r="J143" s="116">
        <f t="shared" si="13"/>
        <v>2078.7685113038096</v>
      </c>
      <c r="K143" s="165">
        <f t="shared" si="14"/>
        <v>2.2730420006107699E-2</v>
      </c>
    </row>
    <row r="144" spans="1:11" x14ac:dyDescent="0.2">
      <c r="A144" s="500"/>
      <c r="B144" s="501"/>
      <c r="C144" s="501"/>
      <c r="D144" s="501"/>
      <c r="E144" s="535"/>
      <c r="F144" s="55" t="s">
        <v>185</v>
      </c>
      <c r="G144" s="167">
        <v>43.899250977020117</v>
      </c>
      <c r="H144" s="10">
        <v>51.886849845847109</v>
      </c>
      <c r="I144" s="116">
        <f t="shared" si="12"/>
        <v>1294.4377229697682</v>
      </c>
      <c r="J144" s="116">
        <f t="shared" si="13"/>
        <v>56.824846474772293</v>
      </c>
      <c r="K144" s="165">
        <f t="shared" si="14"/>
        <v>9.2777224514725275E-4</v>
      </c>
    </row>
    <row r="145" spans="1:11" x14ac:dyDescent="0.2">
      <c r="A145" s="500"/>
      <c r="B145" s="501"/>
      <c r="C145" s="501"/>
      <c r="D145" s="501"/>
      <c r="E145" s="535"/>
      <c r="F145" s="55" t="s">
        <v>186</v>
      </c>
      <c r="G145" s="167">
        <v>131.69775293106036</v>
      </c>
      <c r="H145" s="10">
        <v>123.95191907619031</v>
      </c>
      <c r="I145" s="116">
        <f t="shared" si="12"/>
        <v>9761.0326603957565</v>
      </c>
      <c r="J145" s="116">
        <f t="shared" si="13"/>
        <v>1285.5060676608111</v>
      </c>
      <c r="K145" s="165">
        <f t="shared" si="14"/>
        <v>1.5883804456271022E-2</v>
      </c>
    </row>
    <row r="146" spans="1:11" x14ac:dyDescent="0.2">
      <c r="A146" s="500"/>
      <c r="B146" s="501"/>
      <c r="C146" s="501"/>
      <c r="D146" s="501"/>
      <c r="E146" s="535"/>
      <c r="F146" s="55" t="s">
        <v>171</v>
      </c>
      <c r="G146" s="167">
        <v>175.59700390808047</v>
      </c>
      <c r="H146" s="10">
        <v>306.99719492126201</v>
      </c>
      <c r="I146" s="116">
        <f t="shared" si="12"/>
        <v>80038.702371513253</v>
      </c>
      <c r="J146" s="116">
        <f t="shared" si="13"/>
        <v>14054.556333128301</v>
      </c>
      <c r="K146" s="165">
        <f t="shared" si="14"/>
        <v>0.12991388577186944</v>
      </c>
    </row>
    <row r="147" spans="1:11" x14ac:dyDescent="0.2">
      <c r="A147" s="500"/>
      <c r="B147" s="501"/>
      <c r="C147" s="501"/>
      <c r="D147" s="501"/>
      <c r="E147" s="535"/>
      <c r="F147" s="55" t="s">
        <v>187</v>
      </c>
      <c r="G147" s="167">
        <v>43.899250977020117</v>
      </c>
      <c r="H147" s="10">
        <v>259.43424922923555</v>
      </c>
      <c r="I147" s="116">
        <f t="shared" si="12"/>
        <v>54161.610652961004</v>
      </c>
      <c r="J147" s="116">
        <f t="shared" si="13"/>
        <v>2377.6541393739813</v>
      </c>
      <c r="K147" s="165">
        <f t="shared" si="14"/>
        <v>2.3194306128681324E-2</v>
      </c>
    </row>
    <row r="148" spans="1:11" x14ac:dyDescent="0.2">
      <c r="A148" s="500"/>
      <c r="B148" s="501"/>
      <c r="C148" s="501"/>
      <c r="D148" s="501"/>
      <c r="E148" s="535"/>
      <c r="F148" s="55" t="s">
        <v>188</v>
      </c>
      <c r="G148" s="167">
        <v>175.59700390808047</v>
      </c>
      <c r="H148" s="10">
        <v>211.871303537209</v>
      </c>
      <c r="I148" s="116">
        <f t="shared" si="12"/>
        <v>33855.994514621598</v>
      </c>
      <c r="J148" s="116">
        <f t="shared" si="13"/>
        <v>5945.0112010959592</v>
      </c>
      <c r="K148" s="165">
        <f t="shared" si="14"/>
        <v>6.1877254461070931E-2</v>
      </c>
    </row>
    <row r="149" spans="1:11" x14ac:dyDescent="0.2">
      <c r="A149" s="500">
        <v>10</v>
      </c>
      <c r="B149" s="501"/>
      <c r="C149" s="501"/>
      <c r="D149" s="501" t="s">
        <v>35</v>
      </c>
      <c r="E149" s="535">
        <f>Assumptions!D70</f>
        <v>2860.4270000000001</v>
      </c>
      <c r="F149" s="55" t="s">
        <v>189</v>
      </c>
      <c r="G149" s="167">
        <v>87.798501954040233</v>
      </c>
      <c r="H149" s="10">
        <v>69.182466461129479</v>
      </c>
      <c r="I149" s="116">
        <f t="shared" si="12"/>
        <v>2523.1265279280765</v>
      </c>
      <c r="J149" s="116">
        <f t="shared" si="13"/>
        <v>221.52672939258397</v>
      </c>
      <c r="K149" s="165">
        <f t="shared" si="14"/>
        <v>3.2987457605235652E-3</v>
      </c>
    </row>
    <row r="150" spans="1:11" x14ac:dyDescent="0.2">
      <c r="A150" s="500"/>
      <c r="B150" s="501"/>
      <c r="C150" s="501"/>
      <c r="D150" s="501"/>
      <c r="E150" s="535"/>
      <c r="F150" s="55" t="s">
        <v>190</v>
      </c>
      <c r="G150" s="167">
        <v>702.38801563232187</v>
      </c>
      <c r="H150" s="10">
        <v>60.534658153488294</v>
      </c>
      <c r="I150" s="116">
        <f t="shared" si="12"/>
        <v>1850.9628946971625</v>
      </c>
      <c r="J150" s="116">
        <f t="shared" si="13"/>
        <v>1300.0941546153983</v>
      </c>
      <c r="K150" s="165">
        <f t="shared" si="14"/>
        <v>2.020481778320684E-2</v>
      </c>
    </row>
    <row r="151" spans="1:11" x14ac:dyDescent="0.2">
      <c r="A151" s="500"/>
      <c r="B151" s="501"/>
      <c r="C151" s="501"/>
      <c r="D151" s="501"/>
      <c r="E151" s="535"/>
      <c r="F151" s="55" t="s">
        <v>191</v>
      </c>
      <c r="G151" s="167">
        <v>87.798501954040233</v>
      </c>
      <c r="H151" s="10">
        <v>51.886849845847109</v>
      </c>
      <c r="I151" s="116">
        <f t="shared" si="12"/>
        <v>1294.4377229697682</v>
      </c>
      <c r="J151" s="116">
        <f t="shared" si="13"/>
        <v>113.64969294954459</v>
      </c>
      <c r="K151" s="165">
        <f t="shared" si="14"/>
        <v>1.8555444902945055E-3</v>
      </c>
    </row>
    <row r="152" spans="1:11" x14ac:dyDescent="0.2">
      <c r="A152" s="500"/>
      <c r="B152" s="501"/>
      <c r="C152" s="501"/>
      <c r="D152" s="501"/>
      <c r="E152" s="535"/>
      <c r="F152" s="55" t="s">
        <v>171</v>
      </c>
      <c r="G152" s="167">
        <v>351.19400781616093</v>
      </c>
      <c r="H152" s="10">
        <v>90.801987230232442</v>
      </c>
      <c r="I152" s="116">
        <f t="shared" si="12"/>
        <v>4741.6493443105792</v>
      </c>
      <c r="J152" s="116">
        <f t="shared" si="13"/>
        <v>1665.2388368873039</v>
      </c>
      <c r="K152" s="165">
        <f t="shared" si="14"/>
        <v>2.2730420006107699E-2</v>
      </c>
    </row>
    <row r="153" spans="1:11" x14ac:dyDescent="0.2">
      <c r="A153" s="500"/>
      <c r="B153" s="501"/>
      <c r="C153" s="501"/>
      <c r="D153" s="501"/>
      <c r="E153" s="535"/>
      <c r="F153" s="55" t="s">
        <v>188</v>
      </c>
      <c r="G153" s="167">
        <v>87.798501954040233</v>
      </c>
      <c r="H153" s="10">
        <v>155.66054953754133</v>
      </c>
      <c r="I153" s="116">
        <f t="shared" si="12"/>
        <v>16557.793872394617</v>
      </c>
      <c r="J153" s="116">
        <f t="shared" si="13"/>
        <v>1453.7494976600342</v>
      </c>
      <c r="K153" s="165">
        <f t="shared" si="14"/>
        <v>1.6699900412650549E-2</v>
      </c>
    </row>
    <row r="154" spans="1:11" x14ac:dyDescent="0.2">
      <c r="A154" s="500">
        <v>11</v>
      </c>
      <c r="B154" s="501"/>
      <c r="C154" s="501"/>
      <c r="D154" s="501" t="s">
        <v>35</v>
      </c>
      <c r="E154" s="535">
        <f>Assumptions!D71</f>
        <v>9034.3230000000021</v>
      </c>
      <c r="F154" s="10" t="s">
        <v>192</v>
      </c>
      <c r="G154" s="167">
        <v>658.48876465530191</v>
      </c>
      <c r="H154" s="10">
        <v>72.785719922646663</v>
      </c>
      <c r="I154" s="116">
        <f t="shared" si="12"/>
        <v>2838.5422071973685</v>
      </c>
      <c r="J154" s="116">
        <f t="shared" si="13"/>
        <v>1869.1481514393292</v>
      </c>
      <c r="K154" s="165">
        <f t="shared" si="14"/>
        <v>2.7384851483643328E-2</v>
      </c>
    </row>
    <row r="155" spans="1:11" x14ac:dyDescent="0.2">
      <c r="A155" s="500"/>
      <c r="B155" s="501"/>
      <c r="C155" s="501"/>
      <c r="D155" s="501"/>
      <c r="E155" s="535"/>
      <c r="F155" s="10" t="s">
        <v>193</v>
      </c>
      <c r="G155" s="167">
        <v>329.24438232765095</v>
      </c>
      <c r="H155" s="10">
        <v>40.356438768992192</v>
      </c>
      <c r="I155" s="116">
        <f t="shared" si="12"/>
        <v>722.54681625847593</v>
      </c>
      <c r="J155" s="116">
        <f t="shared" si="13"/>
        <v>237.89448022183259</v>
      </c>
      <c r="K155" s="165">
        <f t="shared" si="14"/>
        <v>4.2093370381680916E-3</v>
      </c>
    </row>
    <row r="156" spans="1:11" x14ac:dyDescent="0.2">
      <c r="A156" s="500"/>
      <c r="B156" s="501"/>
      <c r="C156" s="501"/>
      <c r="D156" s="501"/>
      <c r="E156" s="535"/>
      <c r="F156" s="10" t="s">
        <v>190</v>
      </c>
      <c r="G156" s="167">
        <v>329.24438232765095</v>
      </c>
      <c r="H156" s="10">
        <v>112.4215079993354</v>
      </c>
      <c r="I156" s="116">
        <f t="shared" si="12"/>
        <v>7782.4947660721746</v>
      </c>
      <c r="J156" s="116">
        <f t="shared" si="13"/>
        <v>2562.3426822236097</v>
      </c>
      <c r="K156" s="165">
        <f t="shared" si="14"/>
        <v>3.2665314464559531E-2</v>
      </c>
    </row>
    <row r="157" spans="1:11" x14ac:dyDescent="0.2">
      <c r="A157" s="500"/>
      <c r="B157" s="501"/>
      <c r="C157" s="501"/>
      <c r="D157" s="501"/>
      <c r="E157" s="535"/>
      <c r="F157" s="10" t="s">
        <v>186</v>
      </c>
      <c r="G157" s="167">
        <v>329.24438232765095</v>
      </c>
      <c r="H157" s="10">
        <v>57.652055384274554</v>
      </c>
      <c r="I157" s="116">
        <f t="shared" si="12"/>
        <v>1652.8693976521133</v>
      </c>
      <c r="J157" s="116">
        <f t="shared" si="13"/>
        <v>544.19796389824648</v>
      </c>
      <c r="K157" s="165">
        <f t="shared" si="14"/>
        <v>8.5904837513634501E-3</v>
      </c>
    </row>
    <row r="158" spans="1:11" x14ac:dyDescent="0.2">
      <c r="A158" s="500"/>
      <c r="B158" s="501"/>
      <c r="C158" s="501"/>
      <c r="D158" s="501"/>
      <c r="E158" s="535"/>
      <c r="F158" s="10" t="s">
        <v>194</v>
      </c>
      <c r="G158" s="167">
        <v>987.73314698295258</v>
      </c>
      <c r="H158" s="10">
        <v>137.40406533252107</v>
      </c>
      <c r="I158" s="116">
        <f t="shared" si="12"/>
        <v>12396.732927169198</v>
      </c>
      <c r="J158" s="116">
        <f t="shared" si="13"/>
        <v>12244.664026460021</v>
      </c>
      <c r="K158" s="165">
        <f t="shared" si="14"/>
        <v>0.14638900185969272</v>
      </c>
    </row>
    <row r="159" spans="1:11" x14ac:dyDescent="0.2">
      <c r="A159" s="500"/>
      <c r="B159" s="501"/>
      <c r="C159" s="501"/>
      <c r="D159" s="501"/>
      <c r="E159" s="535"/>
      <c r="F159" s="10" t="s">
        <v>195</v>
      </c>
      <c r="G159" s="167">
        <v>109.7481274425503</v>
      </c>
      <c r="H159" s="10">
        <v>43.239041538205917</v>
      </c>
      <c r="I159" s="116">
        <f t="shared" si="12"/>
        <v>847.97035573960693</v>
      </c>
      <c r="J159" s="116">
        <f t="shared" si="13"/>
        <v>93.063158669215085</v>
      </c>
      <c r="K159" s="165">
        <f t="shared" si="14"/>
        <v>1.6107157033806467E-3</v>
      </c>
    </row>
    <row r="160" spans="1:11" x14ac:dyDescent="0.2">
      <c r="A160" s="500"/>
      <c r="B160" s="501"/>
      <c r="C160" s="501"/>
      <c r="D160" s="501"/>
      <c r="E160" s="535"/>
      <c r="F160" s="10" t="s">
        <v>196</v>
      </c>
      <c r="G160" s="167">
        <v>109.7481274425503</v>
      </c>
      <c r="H160" s="10">
        <v>129.71712461461777</v>
      </c>
      <c r="I160" s="116">
        <f t="shared" si="12"/>
        <v>10846.808703956061</v>
      </c>
      <c r="J160" s="116">
        <f t="shared" si="13"/>
        <v>1190.4169439867337</v>
      </c>
      <c r="K160" s="165">
        <f t="shared" si="14"/>
        <v>1.4496441330425828E-2</v>
      </c>
    </row>
    <row r="161" spans="1:11" x14ac:dyDescent="0.2">
      <c r="A161" s="500"/>
      <c r="B161" s="501"/>
      <c r="C161" s="501"/>
      <c r="D161" s="501"/>
      <c r="E161" s="535"/>
      <c r="F161" s="10" t="s">
        <v>197</v>
      </c>
      <c r="G161" s="167">
        <v>109.7481274425503</v>
      </c>
      <c r="H161" s="10">
        <v>86.478083076411835</v>
      </c>
      <c r="I161" s="116">
        <f t="shared" si="12"/>
        <v>4234.1891985308739</v>
      </c>
      <c r="J161" s="116">
        <f t="shared" si="13"/>
        <v>464.69433577623624</v>
      </c>
      <c r="K161" s="165">
        <f t="shared" si="14"/>
        <v>6.4428628135225867E-3</v>
      </c>
    </row>
    <row r="162" spans="1:11" x14ac:dyDescent="0.2">
      <c r="A162" s="500"/>
      <c r="B162" s="501"/>
      <c r="C162" s="501"/>
      <c r="D162" s="501"/>
      <c r="E162" s="535"/>
      <c r="F162" s="55" t="s">
        <v>182</v>
      </c>
      <c r="G162" s="167">
        <v>296.75893660465596</v>
      </c>
      <c r="H162" s="10">
        <v>242.13863261395318</v>
      </c>
      <c r="I162" s="116">
        <f t="shared" si="12"/>
        <v>46150.551226044678</v>
      </c>
      <c r="J162" s="116">
        <f t="shared" si="13"/>
        <v>13695.588505559721</v>
      </c>
      <c r="K162" s="165">
        <f t="shared" si="14"/>
        <v>0.1365845682144782</v>
      </c>
    </row>
    <row r="163" spans="1:11" x14ac:dyDescent="0.2">
      <c r="A163" s="500"/>
      <c r="B163" s="501"/>
      <c r="C163" s="501"/>
      <c r="D163" s="501"/>
      <c r="E163" s="535"/>
      <c r="F163" s="55" t="s">
        <v>187</v>
      </c>
      <c r="G163" s="167">
        <v>109.7481274425503</v>
      </c>
      <c r="H163" s="10">
        <v>518.86849845847109</v>
      </c>
      <c r="I163" s="116">
        <f t="shared" si="12"/>
        <v>270446.37262322474</v>
      </c>
      <c r="J163" s="116">
        <f t="shared" si="13"/>
        <v>29680.982969029115</v>
      </c>
      <c r="K163" s="165">
        <f t="shared" si="14"/>
        <v>0.23194306128681325</v>
      </c>
    </row>
    <row r="164" spans="1:11" x14ac:dyDescent="0.2">
      <c r="A164" s="500"/>
      <c r="B164" s="501"/>
      <c r="C164" s="501"/>
      <c r="D164" s="501"/>
      <c r="E164" s="535"/>
      <c r="F164" s="10" t="s">
        <v>198</v>
      </c>
      <c r="G164" s="167">
        <v>43.899250977020117</v>
      </c>
      <c r="H164" s="10">
        <v>172.95616615282367</v>
      </c>
      <c r="I164" s="116">
        <f t="shared" si="12"/>
        <v>21142.670905421284</v>
      </c>
      <c r="J164" s="116">
        <f t="shared" si="13"/>
        <v>928.14741640163015</v>
      </c>
      <c r="K164" s="165">
        <f t="shared" si="14"/>
        <v>1.0308580501636138E-2</v>
      </c>
    </row>
    <row r="165" spans="1:11" x14ac:dyDescent="0.2">
      <c r="A165" s="500"/>
      <c r="B165" s="501"/>
      <c r="C165" s="501"/>
      <c r="D165" s="501"/>
      <c r="E165" s="535"/>
      <c r="F165" s="10" t="s">
        <v>173</v>
      </c>
      <c r="G165" s="167">
        <v>43.899250977020117</v>
      </c>
      <c r="H165" s="10">
        <v>51.886849845847109</v>
      </c>
      <c r="I165" s="116">
        <f t="shared" si="12"/>
        <v>1294.4377229697682</v>
      </c>
      <c r="J165" s="116">
        <f t="shared" si="13"/>
        <v>56.824846474772293</v>
      </c>
      <c r="K165" s="165">
        <f t="shared" si="14"/>
        <v>9.2777224514725275E-4</v>
      </c>
    </row>
    <row r="166" spans="1:11" x14ac:dyDescent="0.2">
      <c r="A166" s="500"/>
      <c r="B166" s="501"/>
      <c r="C166" s="501"/>
      <c r="D166" s="501"/>
      <c r="E166" s="535"/>
      <c r="F166" s="10" t="s">
        <v>199</v>
      </c>
      <c r="G166" s="167">
        <v>175.59700390808047</v>
      </c>
      <c r="H166" s="10">
        <v>125.3932204607972</v>
      </c>
      <c r="I166" s="116">
        <f t="shared" si="12"/>
        <v>10026.376877661833</v>
      </c>
      <c r="J166" s="116">
        <f t="shared" si="13"/>
        <v>1760.6017397706726</v>
      </c>
      <c r="K166" s="165">
        <f t="shared" si="14"/>
        <v>2.1673790504689996E-2</v>
      </c>
    </row>
    <row r="167" spans="1:11" x14ac:dyDescent="0.2">
      <c r="A167" s="500"/>
      <c r="B167" s="501"/>
      <c r="C167" s="501"/>
      <c r="D167" s="501"/>
      <c r="E167" s="535"/>
      <c r="F167" s="10" t="s">
        <v>172</v>
      </c>
      <c r="G167" s="167">
        <v>75</v>
      </c>
      <c r="H167" s="10">
        <v>583.72706076578004</v>
      </c>
      <c r="I167" s="116">
        <f t="shared" si="12"/>
        <v>355430.76221589372</v>
      </c>
      <c r="J167" s="116">
        <f t="shared" si="13"/>
        <v>26657.307166192029</v>
      </c>
      <c r="K167" s="165">
        <f t="shared" si="14"/>
        <v>0.20060907446561363</v>
      </c>
    </row>
    <row r="168" spans="1:11" x14ac:dyDescent="0.2">
      <c r="A168" s="162">
        <v>12</v>
      </c>
      <c r="B168" s="75"/>
      <c r="C168" s="75"/>
      <c r="D168" s="75" t="s">
        <v>37</v>
      </c>
      <c r="E168" s="481">
        <f>Assumptions!D72</f>
        <v>2315.3180000000002</v>
      </c>
      <c r="F168" s="10" t="s">
        <v>323</v>
      </c>
      <c r="G168" s="167">
        <v>0</v>
      </c>
      <c r="H168" s="10">
        <v>0</v>
      </c>
      <c r="I168" s="116">
        <v>0</v>
      </c>
      <c r="J168" s="116">
        <f t="shared" si="13"/>
        <v>0</v>
      </c>
      <c r="K168" s="165">
        <f t="shared" si="14"/>
        <v>0</v>
      </c>
    </row>
    <row r="169" spans="1:11" x14ac:dyDescent="0.2">
      <c r="A169" s="500">
        <v>13</v>
      </c>
      <c r="B169" s="501"/>
      <c r="C169" s="501"/>
      <c r="D169" s="501" t="s">
        <v>35</v>
      </c>
      <c r="E169" s="535">
        <f>Assumptions!D73</f>
        <v>5717.201</v>
      </c>
      <c r="F169" s="55" t="s">
        <v>188</v>
      </c>
      <c r="G169" s="167">
        <v>43.899250977020117</v>
      </c>
      <c r="H169" s="10">
        <v>164.30835784518248</v>
      </c>
      <c r="I169" s="116">
        <f t="shared" si="12"/>
        <v>18770.619843781271</v>
      </c>
      <c r="J169" s="116">
        <f t="shared" si="13"/>
        <v>824.01615151638816</v>
      </c>
      <c r="K169" s="165">
        <f t="shared" si="14"/>
        <v>9.3034939027266152E-3</v>
      </c>
    </row>
    <row r="170" spans="1:11" x14ac:dyDescent="0.2">
      <c r="A170" s="500"/>
      <c r="B170" s="501"/>
      <c r="C170" s="501"/>
      <c r="D170" s="501"/>
      <c r="E170" s="535"/>
      <c r="F170" s="55" t="s">
        <v>182</v>
      </c>
      <c r="G170" s="167">
        <v>43.899250977020117</v>
      </c>
      <c r="H170" s="10">
        <v>172.95616615282367</v>
      </c>
      <c r="I170" s="116">
        <f t="shared" si="12"/>
        <v>21142.670905421284</v>
      </c>
      <c r="J170" s="116">
        <f t="shared" si="13"/>
        <v>928.14741640163015</v>
      </c>
      <c r="K170" s="165">
        <f t="shared" si="14"/>
        <v>1.0308580501636138E-2</v>
      </c>
    </row>
    <row r="171" spans="1:11" x14ac:dyDescent="0.2">
      <c r="A171" s="500"/>
      <c r="B171" s="501"/>
      <c r="C171" s="501"/>
      <c r="D171" s="501"/>
      <c r="E171" s="535"/>
      <c r="F171" s="55" t="s">
        <v>171</v>
      </c>
      <c r="G171" s="167">
        <v>131.69775293106036</v>
      </c>
      <c r="H171" s="10">
        <v>270.96466030609048</v>
      </c>
      <c r="I171" s="116">
        <f t="shared" si="12"/>
        <v>59910.862144529412</v>
      </c>
      <c r="J171" s="116">
        <f t="shared" ref="J171:J202" si="15">(I171*G171)/1000</f>
        <v>7890.1259205970518</v>
      </c>
      <c r="K171" s="165">
        <f t="shared" ref="K171:K206" si="16">0.00000001*3.14*(H171/2)^2*G171</f>
        <v>7.5905514427047474E-2</v>
      </c>
    </row>
    <row r="172" spans="1:11" x14ac:dyDescent="0.2">
      <c r="A172" s="500"/>
      <c r="B172" s="501"/>
      <c r="C172" s="501"/>
      <c r="D172" s="501"/>
      <c r="E172" s="535"/>
      <c r="F172" s="55" t="s">
        <v>172</v>
      </c>
      <c r="G172" s="167">
        <v>526.79101172424146</v>
      </c>
      <c r="H172" s="10">
        <v>247.18318746007716</v>
      </c>
      <c r="I172" s="116">
        <f t="shared" si="12"/>
        <v>48411.900006949065</v>
      </c>
      <c r="J172" s="116">
        <f t="shared" si="15"/>
        <v>25502.953784153509</v>
      </c>
      <c r="K172" s="165">
        <f t="shared" si="16"/>
        <v>0.25266545571603966</v>
      </c>
    </row>
    <row r="173" spans="1:11" x14ac:dyDescent="0.2">
      <c r="A173" s="500">
        <v>14</v>
      </c>
      <c r="B173" s="501"/>
      <c r="C173" s="501"/>
      <c r="D173" s="501" t="s">
        <v>35</v>
      </c>
      <c r="E173" s="535">
        <f>Assumptions!D74</f>
        <v>3768.0449999999996</v>
      </c>
      <c r="F173" s="55" t="s">
        <v>201</v>
      </c>
      <c r="G173" s="167">
        <v>87.798501954040233</v>
      </c>
      <c r="H173" s="10">
        <v>86.478083076411835</v>
      </c>
      <c r="I173" s="116">
        <f t="shared" si="12"/>
        <v>4234.1891985308739</v>
      </c>
      <c r="J173" s="116">
        <f t="shared" si="15"/>
        <v>371.75546862098901</v>
      </c>
      <c r="K173" s="165">
        <f t="shared" si="16"/>
        <v>5.1542902508180692E-3</v>
      </c>
    </row>
    <row r="174" spans="1:11" x14ac:dyDescent="0.2">
      <c r="A174" s="500"/>
      <c r="B174" s="501"/>
      <c r="C174" s="501"/>
      <c r="D174" s="501"/>
      <c r="E174" s="535"/>
      <c r="F174" s="55" t="s">
        <v>200</v>
      </c>
      <c r="G174" s="167">
        <v>1404.7760312646437</v>
      </c>
      <c r="H174" s="10">
        <v>61.075146172715868</v>
      </c>
      <c r="I174" s="116">
        <f t="shared" si="12"/>
        <v>1889.5304240411037</v>
      </c>
      <c r="J174" s="116">
        <f t="shared" si="15"/>
        <v>2654.3670500382609</v>
      </c>
      <c r="K174" s="165">
        <f t="shared" si="16"/>
        <v>4.1134457632934975E-2</v>
      </c>
    </row>
    <row r="175" spans="1:11" x14ac:dyDescent="0.2">
      <c r="A175" s="500"/>
      <c r="B175" s="501"/>
      <c r="C175" s="501"/>
      <c r="D175" s="501"/>
      <c r="E175" s="535"/>
      <c r="F175" s="55" t="s">
        <v>171</v>
      </c>
      <c r="G175" s="167">
        <v>351.19400781616093</v>
      </c>
      <c r="H175" s="10">
        <v>108.09760384551478</v>
      </c>
      <c r="I175" s="116">
        <f t="shared" si="12"/>
        <v>7105.612013709756</v>
      </c>
      <c r="J175" s="116">
        <f t="shared" si="15"/>
        <v>2495.4483610813909</v>
      </c>
      <c r="K175" s="165">
        <f t="shared" si="16"/>
        <v>3.221431406761293E-2</v>
      </c>
    </row>
    <row r="176" spans="1:11" x14ac:dyDescent="0.2">
      <c r="A176" s="500">
        <v>15</v>
      </c>
      <c r="B176" s="501"/>
      <c r="C176" s="501"/>
      <c r="D176" s="501" t="s">
        <v>34</v>
      </c>
      <c r="E176" s="535">
        <f>Assumptions!D75</f>
        <v>236.66199999999998</v>
      </c>
      <c r="F176" s="55" t="s">
        <v>292</v>
      </c>
      <c r="G176" s="167">
        <v>48.289176074722128</v>
      </c>
      <c r="H176" s="10">
        <v>69.182466461129479</v>
      </c>
      <c r="I176" s="116">
        <f t="shared" si="12"/>
        <v>2523.1265279280765</v>
      </c>
      <c r="J176" s="116">
        <f t="shared" si="15"/>
        <v>121.83970116592118</v>
      </c>
      <c r="K176" s="165">
        <f t="shared" si="16"/>
        <v>1.814310168287961E-3</v>
      </c>
    </row>
    <row r="177" spans="1:11" x14ac:dyDescent="0.2">
      <c r="A177" s="500"/>
      <c r="B177" s="501"/>
      <c r="C177" s="501"/>
      <c r="D177" s="501"/>
      <c r="E177" s="535"/>
      <c r="F177" s="55" t="s">
        <v>293</v>
      </c>
      <c r="G177" s="167">
        <v>115.89402257933311</v>
      </c>
      <c r="H177" s="10">
        <v>269.81161919840497</v>
      </c>
      <c r="I177" s="116">
        <f t="shared" si="12"/>
        <v>59321.062086619684</v>
      </c>
      <c r="J177" s="116">
        <f t="shared" si="15"/>
        <v>6874.9565088967238</v>
      </c>
      <c r="K177" s="165">
        <f t="shared" si="16"/>
        <v>6.6229578383183732E-2</v>
      </c>
    </row>
    <row r="178" spans="1:11" x14ac:dyDescent="0.2">
      <c r="A178" s="162">
        <v>16</v>
      </c>
      <c r="B178" s="170"/>
      <c r="C178" s="170"/>
      <c r="D178" s="170" t="s">
        <v>35</v>
      </c>
      <c r="E178" s="171">
        <f>Assumptions!D76</f>
        <v>6640.8160000000016</v>
      </c>
      <c r="F178" s="55" t="s">
        <v>323</v>
      </c>
      <c r="G178" s="167">
        <v>0</v>
      </c>
      <c r="H178" s="10">
        <v>0</v>
      </c>
      <c r="I178" s="116">
        <v>0</v>
      </c>
      <c r="J178" s="116">
        <f t="shared" si="15"/>
        <v>0</v>
      </c>
      <c r="K178" s="165">
        <f t="shared" si="16"/>
        <v>0</v>
      </c>
    </row>
    <row r="179" spans="1:11" x14ac:dyDescent="0.2">
      <c r="A179" s="162">
        <v>17</v>
      </c>
      <c r="B179" s="75"/>
      <c r="C179" s="75"/>
      <c r="D179" s="75" t="s">
        <v>36</v>
      </c>
      <c r="E179" s="481">
        <f>Assumptions!D77</f>
        <v>837.08299999999997</v>
      </c>
      <c r="F179" s="55" t="s">
        <v>323</v>
      </c>
      <c r="G179" s="167">
        <v>0</v>
      </c>
      <c r="H179" s="10">
        <v>0</v>
      </c>
      <c r="I179" s="116">
        <v>0</v>
      </c>
      <c r="J179" s="116">
        <f t="shared" si="15"/>
        <v>0</v>
      </c>
      <c r="K179" s="165">
        <f t="shared" si="16"/>
        <v>0</v>
      </c>
    </row>
    <row r="180" spans="1:11" x14ac:dyDescent="0.2">
      <c r="A180" s="500">
        <v>18</v>
      </c>
      <c r="B180" s="501"/>
      <c r="C180" s="501"/>
      <c r="D180" s="501" t="s">
        <v>34</v>
      </c>
      <c r="E180" s="535">
        <f>Assumptions!D78</f>
        <v>1849.3409999999997</v>
      </c>
      <c r="F180" s="56" t="s">
        <v>308</v>
      </c>
      <c r="G180" s="168">
        <v>877.98501954040239</v>
      </c>
      <c r="H180" s="10">
        <v>57.075534830431813</v>
      </c>
      <c r="I180" s="116">
        <f t="shared" si="12"/>
        <v>1614.7756445684204</v>
      </c>
      <c r="J180" s="116">
        <f t="shared" si="15"/>
        <v>1417.7488258497704</v>
      </c>
      <c r="K180" s="165">
        <f t="shared" si="16"/>
        <v>2.2452088332563513E-2</v>
      </c>
    </row>
    <row r="181" spans="1:11" x14ac:dyDescent="0.2">
      <c r="A181" s="500"/>
      <c r="B181" s="501"/>
      <c r="C181" s="501"/>
      <c r="D181" s="501"/>
      <c r="E181" s="535"/>
      <c r="F181" s="56" t="s">
        <v>309</v>
      </c>
      <c r="G181" s="168">
        <v>219.4962548851006</v>
      </c>
      <c r="H181" s="10">
        <v>65.723343138073005</v>
      </c>
      <c r="I181" s="116">
        <f t="shared" si="12"/>
        <v>2240.0504215081846</v>
      </c>
      <c r="J181" s="116">
        <f t="shared" si="15"/>
        <v>491.68267827483749</v>
      </c>
      <c r="K181" s="165">
        <f t="shared" si="16"/>
        <v>7.4427951221812949E-3</v>
      </c>
    </row>
    <row r="182" spans="1:11" x14ac:dyDescent="0.2">
      <c r="A182" s="500"/>
      <c r="B182" s="501"/>
      <c r="C182" s="501"/>
      <c r="D182" s="501"/>
      <c r="E182" s="535"/>
      <c r="F182" s="56" t="s">
        <v>310</v>
      </c>
      <c r="G182" s="168">
        <v>43.899250977020117</v>
      </c>
      <c r="H182" s="10">
        <v>69.182466461129479</v>
      </c>
      <c r="I182" s="116">
        <f t="shared" si="12"/>
        <v>2523.1265279280765</v>
      </c>
      <c r="J182" s="116">
        <f t="shared" si="15"/>
        <v>110.76336469629199</v>
      </c>
      <c r="K182" s="165">
        <f t="shared" si="16"/>
        <v>1.6493728802617826E-3</v>
      </c>
    </row>
    <row r="183" spans="1:11" x14ac:dyDescent="0.2">
      <c r="A183" s="500"/>
      <c r="B183" s="501"/>
      <c r="C183" s="501"/>
      <c r="D183" s="501"/>
      <c r="E183" s="535"/>
      <c r="F183" s="56" t="s">
        <v>185</v>
      </c>
      <c r="G183" s="168">
        <v>43.899250977020117</v>
      </c>
      <c r="H183" s="10">
        <v>86.478083076411835</v>
      </c>
      <c r="I183" s="116">
        <f t="shared" si="12"/>
        <v>4234.1891985308739</v>
      </c>
      <c r="J183" s="116">
        <f t="shared" si="15"/>
        <v>185.8777343104945</v>
      </c>
      <c r="K183" s="165">
        <f t="shared" si="16"/>
        <v>2.5771451254090346E-3</v>
      </c>
    </row>
    <row r="184" spans="1:11" x14ac:dyDescent="0.2">
      <c r="A184" s="500"/>
      <c r="B184" s="501"/>
      <c r="C184" s="501"/>
      <c r="D184" s="501"/>
      <c r="E184" s="535"/>
      <c r="F184" s="56" t="s">
        <v>311</v>
      </c>
      <c r="G184" s="168">
        <v>219.4962548851006</v>
      </c>
      <c r="H184" s="10">
        <v>60.534658153488294</v>
      </c>
      <c r="I184" s="116">
        <f t="shared" si="12"/>
        <v>1850.9628946971625</v>
      </c>
      <c r="J184" s="116">
        <f t="shared" si="15"/>
        <v>406.27942331731197</v>
      </c>
      <c r="K184" s="165">
        <f t="shared" si="16"/>
        <v>6.3140055572521378E-3</v>
      </c>
    </row>
    <row r="185" spans="1:11" x14ac:dyDescent="0.2">
      <c r="A185" s="500"/>
      <c r="B185" s="501"/>
      <c r="C185" s="501"/>
      <c r="D185" s="501"/>
      <c r="E185" s="535"/>
      <c r="F185" s="56" t="s">
        <v>295</v>
      </c>
      <c r="G185" s="168">
        <v>87.798501954040233</v>
      </c>
      <c r="H185" s="10">
        <v>73.506370614950058</v>
      </c>
      <c r="I185" s="116">
        <f t="shared" ref="I185:I206" si="17">EXP(-1.996+2.32*LN(H185))</f>
        <v>2904.1708875570816</v>
      </c>
      <c r="J185" s="116">
        <f t="shared" si="15"/>
        <v>254.98185334604719</v>
      </c>
      <c r="K185" s="165">
        <f t="shared" si="16"/>
        <v>3.7239747062160554E-3</v>
      </c>
    </row>
    <row r="186" spans="1:11" x14ac:dyDescent="0.2">
      <c r="A186" s="500"/>
      <c r="B186" s="501"/>
      <c r="C186" s="501"/>
      <c r="D186" s="501"/>
      <c r="E186" s="535"/>
      <c r="F186" s="56" t="s">
        <v>312</v>
      </c>
      <c r="G186" s="168">
        <v>877.98501954040239</v>
      </c>
      <c r="H186" s="10">
        <v>69.182466461129479</v>
      </c>
      <c r="I186" s="116">
        <f t="shared" si="17"/>
        <v>2523.1265279280765</v>
      </c>
      <c r="J186" s="116">
        <f t="shared" si="15"/>
        <v>2215.26729392584</v>
      </c>
      <c r="K186" s="165">
        <f t="shared" si="16"/>
        <v>3.2987457605235658E-2</v>
      </c>
    </row>
    <row r="187" spans="1:11" x14ac:dyDescent="0.2">
      <c r="A187" s="500"/>
      <c r="B187" s="501"/>
      <c r="C187" s="501"/>
      <c r="D187" s="501"/>
      <c r="E187" s="535"/>
      <c r="F187" s="56" t="s">
        <v>313</v>
      </c>
      <c r="G187" s="168">
        <v>219.4962548851006</v>
      </c>
      <c r="H187" s="10">
        <v>164.30835784518248</v>
      </c>
      <c r="I187" s="116">
        <f t="shared" si="17"/>
        <v>18770.619843781271</v>
      </c>
      <c r="J187" s="116">
        <f t="shared" si="15"/>
        <v>4120.0807575819408</v>
      </c>
      <c r="K187" s="165">
        <f t="shared" si="16"/>
        <v>4.6517469513633086E-2</v>
      </c>
    </row>
    <row r="188" spans="1:11" x14ac:dyDescent="0.2">
      <c r="A188" s="500"/>
      <c r="B188" s="501"/>
      <c r="C188" s="501"/>
      <c r="D188" s="501"/>
      <c r="E188" s="535"/>
      <c r="F188" s="56" t="s">
        <v>314</v>
      </c>
      <c r="G188" s="168">
        <v>131.69775293106036</v>
      </c>
      <c r="H188" s="10">
        <v>97.720233876345389</v>
      </c>
      <c r="I188" s="116">
        <f t="shared" si="17"/>
        <v>5622.2771302742312</v>
      </c>
      <c r="J188" s="116">
        <f t="shared" si="15"/>
        <v>740.44126441280685</v>
      </c>
      <c r="K188" s="165">
        <f t="shared" si="16"/>
        <v>9.8722698319043938E-3</v>
      </c>
    </row>
    <row r="189" spans="1:11" x14ac:dyDescent="0.2">
      <c r="A189" s="500"/>
      <c r="B189" s="501"/>
      <c r="C189" s="501"/>
      <c r="D189" s="501"/>
      <c r="E189" s="535"/>
      <c r="F189" s="56" t="s">
        <v>315</v>
      </c>
      <c r="G189" s="168">
        <v>965.78352149444277</v>
      </c>
      <c r="H189" s="10">
        <v>273.27074252146144</v>
      </c>
      <c r="I189" s="116">
        <f t="shared" si="17"/>
        <v>61100.433511859294</v>
      </c>
      <c r="J189" s="116">
        <f t="shared" si="15"/>
        <v>59009.791841920531</v>
      </c>
      <c r="K189" s="165">
        <f t="shared" si="16"/>
        <v>0.56615548801425841</v>
      </c>
    </row>
    <row r="190" spans="1:11" x14ac:dyDescent="0.2">
      <c r="A190" s="500"/>
      <c r="B190" s="501"/>
      <c r="C190" s="501"/>
      <c r="D190" s="501"/>
      <c r="E190" s="535"/>
      <c r="F190" s="56" t="s">
        <v>316</v>
      </c>
      <c r="G190" s="168">
        <v>219.4962548851006</v>
      </c>
      <c r="H190" s="10">
        <v>268.08205753687673</v>
      </c>
      <c r="I190" s="116">
        <f t="shared" si="17"/>
        <v>58442.581294559364</v>
      </c>
      <c r="J190" s="116">
        <f t="shared" si="15"/>
        <v>12827.927719973815</v>
      </c>
      <c r="K190" s="165">
        <f t="shared" si="16"/>
        <v>0.12383182327590415</v>
      </c>
    </row>
    <row r="191" spans="1:11" x14ac:dyDescent="0.2">
      <c r="A191" s="500"/>
      <c r="B191" s="501"/>
      <c r="C191" s="501"/>
      <c r="D191" s="501"/>
      <c r="E191" s="535"/>
      <c r="F191" s="56" t="s">
        <v>317</v>
      </c>
      <c r="G191" s="168">
        <v>219.4962548851006</v>
      </c>
      <c r="H191" s="10">
        <v>267.21727670611261</v>
      </c>
      <c r="I191" s="116">
        <f t="shared" si="17"/>
        <v>58006.135425726985</v>
      </c>
      <c r="J191" s="116">
        <f t="shared" si="15"/>
        <v>12732.129486305033</v>
      </c>
      <c r="K191" s="165">
        <f t="shared" si="16"/>
        <v>0.12303419685959006</v>
      </c>
    </row>
    <row r="192" spans="1:11" x14ac:dyDescent="0.2">
      <c r="A192" s="500"/>
      <c r="B192" s="501"/>
      <c r="C192" s="501"/>
      <c r="D192" s="501"/>
      <c r="E192" s="535"/>
      <c r="F192" s="56" t="s">
        <v>172</v>
      </c>
      <c r="G192" s="168">
        <v>482.89176074722138</v>
      </c>
      <c r="H192" s="10">
        <v>157.39011119906954</v>
      </c>
      <c r="I192" s="116">
        <f t="shared" si="17"/>
        <v>16987.750742312463</v>
      </c>
      <c r="J192" s="116">
        <f t="shared" si="15"/>
        <v>8203.2448670901831</v>
      </c>
      <c r="K192" s="165">
        <f t="shared" si="16"/>
        <v>9.3901890647453759E-2</v>
      </c>
    </row>
    <row r="193" spans="1:11" x14ac:dyDescent="0.2">
      <c r="A193" s="500"/>
      <c r="B193" s="501"/>
      <c r="C193" s="501"/>
      <c r="D193" s="501"/>
      <c r="E193" s="535"/>
      <c r="F193" s="56" t="s">
        <v>318</v>
      </c>
      <c r="G193" s="168">
        <v>460.94213525871123</v>
      </c>
      <c r="H193" s="10">
        <v>147.01274122990012</v>
      </c>
      <c r="I193" s="116">
        <f t="shared" si="17"/>
        <v>14501.460952672849</v>
      </c>
      <c r="J193" s="116">
        <f t="shared" si="15"/>
        <v>6684.3343758958472</v>
      </c>
      <c r="K193" s="165">
        <f t="shared" si="16"/>
        <v>7.8203468830537165E-2</v>
      </c>
    </row>
    <row r="194" spans="1:11" x14ac:dyDescent="0.2">
      <c r="A194" s="500"/>
      <c r="B194" s="501"/>
      <c r="C194" s="501"/>
      <c r="D194" s="501"/>
      <c r="E194" s="535"/>
      <c r="F194" s="56" t="s">
        <v>319</v>
      </c>
      <c r="G194" s="168">
        <v>197.54662939659053</v>
      </c>
      <c r="H194" s="10">
        <v>242.13863261395318</v>
      </c>
      <c r="I194" s="116">
        <f t="shared" si="17"/>
        <v>46150.551226044678</v>
      </c>
      <c r="J194" s="116">
        <f t="shared" si="15"/>
        <v>9116.8858394998151</v>
      </c>
      <c r="K194" s="165">
        <f t="shared" si="16"/>
        <v>9.0921680024430782E-2</v>
      </c>
    </row>
    <row r="195" spans="1:11" x14ac:dyDescent="0.2">
      <c r="A195" s="500"/>
      <c r="B195" s="501"/>
      <c r="C195" s="501"/>
      <c r="D195" s="501"/>
      <c r="E195" s="535"/>
      <c r="F195" s="56" t="s">
        <v>320</v>
      </c>
      <c r="G195" s="168">
        <v>43.899250977020117</v>
      </c>
      <c r="H195" s="10">
        <v>268.08205753687673</v>
      </c>
      <c r="I195" s="116">
        <f t="shared" si="17"/>
        <v>58442.581294559364</v>
      </c>
      <c r="J195" s="116">
        <f t="shared" si="15"/>
        <v>2565.5855439947632</v>
      </c>
      <c r="K195" s="165">
        <f t="shared" si="16"/>
        <v>2.4766364655180829E-2</v>
      </c>
    </row>
    <row r="196" spans="1:11" x14ac:dyDescent="0.2">
      <c r="A196" s="162">
        <v>19</v>
      </c>
      <c r="B196" s="180"/>
      <c r="C196" s="180"/>
      <c r="D196" s="180" t="s">
        <v>37</v>
      </c>
      <c r="E196" s="481">
        <f>Assumptions!D79</f>
        <v>7884.7310000000007</v>
      </c>
      <c r="F196" s="56" t="s">
        <v>323</v>
      </c>
      <c r="G196" s="167">
        <v>0</v>
      </c>
      <c r="H196" s="10">
        <v>0</v>
      </c>
      <c r="I196" s="116">
        <v>0</v>
      </c>
      <c r="J196" s="116">
        <f t="shared" si="15"/>
        <v>0</v>
      </c>
      <c r="K196" s="165">
        <f t="shared" si="16"/>
        <v>0</v>
      </c>
    </row>
    <row r="197" spans="1:11" x14ac:dyDescent="0.2">
      <c r="A197" s="162">
        <v>20</v>
      </c>
      <c r="B197" s="180"/>
      <c r="C197" s="180"/>
      <c r="D197" s="180" t="s">
        <v>36</v>
      </c>
      <c r="E197" s="481">
        <f>Assumptions!D80</f>
        <v>2195.1750000000002</v>
      </c>
      <c r="F197" s="56" t="s">
        <v>323</v>
      </c>
      <c r="G197" s="167">
        <v>0</v>
      </c>
      <c r="H197" s="10">
        <v>0</v>
      </c>
      <c r="I197" s="116">
        <v>0</v>
      </c>
      <c r="J197" s="116">
        <f t="shared" si="15"/>
        <v>0</v>
      </c>
      <c r="K197" s="165">
        <f t="shared" si="16"/>
        <v>0</v>
      </c>
    </row>
    <row r="198" spans="1:11" x14ac:dyDescent="0.2">
      <c r="A198" s="162">
        <v>21</v>
      </c>
      <c r="B198" s="180"/>
      <c r="C198" s="180"/>
      <c r="D198" s="180" t="s">
        <v>37</v>
      </c>
      <c r="E198" s="481">
        <f>Assumptions!D81</f>
        <v>454.25200000000001</v>
      </c>
      <c r="F198" s="56" t="s">
        <v>323</v>
      </c>
      <c r="G198" s="167">
        <v>0</v>
      </c>
      <c r="H198" s="10">
        <v>0</v>
      </c>
      <c r="I198" s="116">
        <v>0</v>
      </c>
      <c r="J198" s="116">
        <f t="shared" si="15"/>
        <v>0</v>
      </c>
      <c r="K198" s="165">
        <f t="shared" si="16"/>
        <v>0</v>
      </c>
    </row>
    <row r="199" spans="1:11" x14ac:dyDescent="0.2">
      <c r="A199" s="500">
        <v>22</v>
      </c>
      <c r="B199" s="501"/>
      <c r="C199" s="501"/>
      <c r="D199" s="501" t="s">
        <v>35</v>
      </c>
      <c r="E199" s="535">
        <f>Assumptions!D82</f>
        <v>18064.454000000005</v>
      </c>
      <c r="F199" s="55" t="s">
        <v>175</v>
      </c>
      <c r="G199" s="167">
        <v>87.798501954040233</v>
      </c>
      <c r="H199" s="10">
        <v>61.770059340294168</v>
      </c>
      <c r="I199" s="116">
        <f t="shared" si="17"/>
        <v>1939.7833048049683</v>
      </c>
      <c r="J199" s="116">
        <f t="shared" si="15"/>
        <v>170.31006827733364</v>
      </c>
      <c r="K199" s="165">
        <f t="shared" si="16"/>
        <v>2.6297399238867699E-3</v>
      </c>
    </row>
    <row r="200" spans="1:11" x14ac:dyDescent="0.2">
      <c r="A200" s="500"/>
      <c r="B200" s="501"/>
      <c r="C200" s="501"/>
      <c r="D200" s="501"/>
      <c r="E200" s="535"/>
      <c r="F200" s="55" t="s">
        <v>172</v>
      </c>
      <c r="G200" s="167">
        <v>658.48876465530191</v>
      </c>
      <c r="H200" s="10">
        <v>155.66054953754133</v>
      </c>
      <c r="I200" s="116">
        <f t="shared" si="17"/>
        <v>16557.793872394617</v>
      </c>
      <c r="J200" s="116">
        <f t="shared" si="15"/>
        <v>10903.121232450259</v>
      </c>
      <c r="K200" s="165">
        <f t="shared" si="16"/>
        <v>0.12524925309487916</v>
      </c>
    </row>
    <row r="201" spans="1:11" x14ac:dyDescent="0.2">
      <c r="A201" s="500"/>
      <c r="B201" s="501"/>
      <c r="C201" s="501"/>
      <c r="D201" s="501"/>
      <c r="E201" s="535"/>
      <c r="F201" s="55" t="s">
        <v>202</v>
      </c>
      <c r="G201" s="167">
        <v>43.899250977020117</v>
      </c>
      <c r="H201" s="10">
        <v>107.80934356859343</v>
      </c>
      <c r="I201" s="116">
        <f t="shared" si="17"/>
        <v>7061.7293083941913</v>
      </c>
      <c r="J201" s="116">
        <f t="shared" si="15"/>
        <v>310.00462724097525</v>
      </c>
      <c r="K201" s="165">
        <f t="shared" si="16"/>
        <v>4.0053416840190479E-3</v>
      </c>
    </row>
    <row r="202" spans="1:11" x14ac:dyDescent="0.2">
      <c r="A202" s="500"/>
      <c r="B202" s="501"/>
      <c r="C202" s="501"/>
      <c r="D202" s="501"/>
      <c r="E202" s="535"/>
      <c r="F202" s="55" t="s">
        <v>177</v>
      </c>
      <c r="G202" s="167">
        <v>395.09325879318106</v>
      </c>
      <c r="H202" s="10">
        <v>89.360685845625582</v>
      </c>
      <c r="I202" s="116">
        <f t="shared" si="17"/>
        <v>4568.8624002941797</v>
      </c>
      <c r="J202" s="116">
        <f t="shared" si="15"/>
        <v>1805.1267347098628</v>
      </c>
      <c r="K202" s="165">
        <f t="shared" si="16"/>
        <v>2.4766364655180836E-2</v>
      </c>
    </row>
    <row r="203" spans="1:11" x14ac:dyDescent="0.2">
      <c r="A203" s="500"/>
      <c r="B203" s="501"/>
      <c r="C203" s="501"/>
      <c r="D203" s="501"/>
      <c r="E203" s="535"/>
      <c r="F203" s="55" t="s">
        <v>188</v>
      </c>
      <c r="G203" s="167">
        <v>307.29475683914086</v>
      </c>
      <c r="H203" s="10">
        <v>101.8519645122184</v>
      </c>
      <c r="I203" s="116">
        <f t="shared" si="17"/>
        <v>6189.2388855286517</v>
      </c>
      <c r="J203" s="116">
        <f t="shared" ref="J203:J206" si="18">(I203*G203)/1000</f>
        <v>1901.9206583478822</v>
      </c>
      <c r="K203" s="165">
        <f t="shared" si="16"/>
        <v>2.5024397333786606E-2</v>
      </c>
    </row>
    <row r="204" spans="1:11" x14ac:dyDescent="0.2">
      <c r="A204" s="500"/>
      <c r="B204" s="501"/>
      <c r="C204" s="501"/>
      <c r="D204" s="501"/>
      <c r="E204" s="535"/>
      <c r="F204" s="55" t="s">
        <v>173</v>
      </c>
      <c r="G204" s="167">
        <v>921.88427051742246</v>
      </c>
      <c r="H204" s="10">
        <v>45.298043516215728</v>
      </c>
      <c r="I204" s="116">
        <f t="shared" si="17"/>
        <v>944.60997138017058</v>
      </c>
      <c r="J204" s="116">
        <f t="shared" si="18"/>
        <v>870.82107438929177</v>
      </c>
      <c r="K204" s="165">
        <f t="shared" si="16"/>
        <v>1.4849264770213968E-2</v>
      </c>
    </row>
    <row r="205" spans="1:11" x14ac:dyDescent="0.2">
      <c r="A205" s="500"/>
      <c r="B205" s="501"/>
      <c r="C205" s="501"/>
      <c r="D205" s="501"/>
      <c r="E205" s="535"/>
      <c r="F205" s="55" t="s">
        <v>185</v>
      </c>
      <c r="G205" s="167">
        <v>263.39550586212073</v>
      </c>
      <c r="H205" s="10">
        <v>190.25178276810607</v>
      </c>
      <c r="I205" s="116">
        <f t="shared" si="17"/>
        <v>26374.903507039558</v>
      </c>
      <c r="J205" s="116">
        <f t="shared" si="18"/>
        <v>6947.0310513013073</v>
      </c>
      <c r="K205" s="165">
        <f t="shared" si="16"/>
        <v>7.4840294441878397E-2</v>
      </c>
    </row>
    <row r="206" spans="1:11" x14ac:dyDescent="0.2">
      <c r="A206" s="500"/>
      <c r="B206" s="501"/>
      <c r="C206" s="501"/>
      <c r="D206" s="501"/>
      <c r="E206" s="535"/>
      <c r="F206" s="55" t="s">
        <v>170</v>
      </c>
      <c r="G206" s="167">
        <v>87.798501954040233</v>
      </c>
      <c r="H206" s="10">
        <v>51.886849845847109</v>
      </c>
      <c r="I206" s="116">
        <f t="shared" si="17"/>
        <v>1294.4377229697682</v>
      </c>
      <c r="J206" s="116">
        <f t="shared" si="18"/>
        <v>113.64969294954459</v>
      </c>
      <c r="K206" s="165">
        <f t="shared" si="16"/>
        <v>1.8555444902945055E-3</v>
      </c>
    </row>
    <row r="207" spans="1:11" x14ac:dyDescent="0.2">
      <c r="A207">
        <v>2015</v>
      </c>
      <c r="E207" s="81"/>
    </row>
    <row r="208" spans="1:11" ht="26" x14ac:dyDescent="0.2">
      <c r="A208" s="499" t="s">
        <v>8</v>
      </c>
      <c r="B208" s="499" t="s">
        <v>169</v>
      </c>
      <c r="C208" s="499" t="s">
        <v>31</v>
      </c>
      <c r="D208" s="499" t="s">
        <v>32</v>
      </c>
      <c r="E208" s="158" t="s">
        <v>503</v>
      </c>
      <c r="F208" s="499" t="s">
        <v>494</v>
      </c>
      <c r="G208" s="151" t="s">
        <v>495</v>
      </c>
      <c r="H208" s="151" t="s">
        <v>504</v>
      </c>
      <c r="I208" s="151" t="s">
        <v>205</v>
      </c>
      <c r="J208" s="151" t="s">
        <v>497</v>
      </c>
      <c r="K208" s="160" t="s">
        <v>505</v>
      </c>
    </row>
    <row r="209" spans="1:11" x14ac:dyDescent="0.2">
      <c r="A209" s="500"/>
      <c r="B209" s="500"/>
      <c r="C209" s="500"/>
      <c r="D209" s="500"/>
      <c r="E209" s="162" t="s">
        <v>499</v>
      </c>
      <c r="F209" s="500"/>
      <c r="G209" s="170" t="s">
        <v>506</v>
      </c>
      <c r="H209" s="162" t="s">
        <v>500</v>
      </c>
      <c r="I209" s="171" t="s">
        <v>501</v>
      </c>
      <c r="J209" s="171"/>
      <c r="K209" s="172" t="s">
        <v>499</v>
      </c>
    </row>
    <row r="210" spans="1:11" x14ac:dyDescent="0.2">
      <c r="A210" s="500">
        <v>1</v>
      </c>
      <c r="B210" s="500"/>
      <c r="C210" s="500"/>
      <c r="D210" s="500" t="s">
        <v>34</v>
      </c>
      <c r="E210" s="535">
        <f>Assumptions!D61</f>
        <v>183.761</v>
      </c>
      <c r="F210" s="173" t="s">
        <v>292</v>
      </c>
      <c r="G210" s="174">
        <v>45.299973852729522</v>
      </c>
      <c r="H210" s="171">
        <v>70.744120914512081</v>
      </c>
      <c r="I210" s="175">
        <f>EXP(-1.996+2.32*LN(H210))</f>
        <v>2657.2342164180368</v>
      </c>
      <c r="J210" s="175">
        <f t="shared" ref="J210:J273" si="19">(I210*G210)/1000</f>
        <v>120.37264052431529</v>
      </c>
      <c r="K210" s="176">
        <f t="shared" ref="K210:K273" si="20">0.00000001*3.14*(H210/2)^2*G210</f>
        <v>1.779706213396563E-3</v>
      </c>
    </row>
    <row r="211" spans="1:11" x14ac:dyDescent="0.2">
      <c r="A211" s="500"/>
      <c r="B211" s="500"/>
      <c r="C211" s="500"/>
      <c r="D211" s="500"/>
      <c r="E211" s="535"/>
      <c r="F211" s="173" t="s">
        <v>293</v>
      </c>
      <c r="G211" s="177">
        <v>89.407843130387207</v>
      </c>
      <c r="H211" s="171">
        <v>53.131476703430231</v>
      </c>
      <c r="I211" s="175">
        <f t="shared" ref="I211:I222" si="21">EXP(-1.996+2.32*LN(H211))</f>
        <v>1367.6173161836427</v>
      </c>
      <c r="J211" s="175">
        <f t="shared" si="19"/>
        <v>122.27571446774829</v>
      </c>
      <c r="K211" s="176">
        <f t="shared" si="20"/>
        <v>1.981294564252536E-3</v>
      </c>
    </row>
    <row r="212" spans="1:11" x14ac:dyDescent="0.2">
      <c r="A212" s="500"/>
      <c r="B212" s="500"/>
      <c r="C212" s="500"/>
      <c r="D212" s="500"/>
      <c r="E212" s="535"/>
      <c r="F212" s="173" t="s">
        <v>294</v>
      </c>
      <c r="G212" s="174">
        <v>760.86074503959514</v>
      </c>
      <c r="H212" s="171">
        <v>48.728315650659773</v>
      </c>
      <c r="I212" s="175">
        <f t="shared" si="21"/>
        <v>1118.9252169927763</v>
      </c>
      <c r="J212" s="175">
        <f t="shared" si="19"/>
        <v>851.34627424471444</v>
      </c>
      <c r="K212" s="176">
        <f t="shared" si="20"/>
        <v>1.4182005010126066E-2</v>
      </c>
    </row>
    <row r="213" spans="1:11" x14ac:dyDescent="0.2">
      <c r="A213" s="500"/>
      <c r="B213" s="500"/>
      <c r="C213" s="500"/>
      <c r="D213" s="500"/>
      <c r="E213" s="535"/>
      <c r="F213" s="173" t="s">
        <v>295</v>
      </c>
      <c r="G213" s="178">
        <v>179.11371240454244</v>
      </c>
      <c r="H213" s="171">
        <v>73.092473475989664</v>
      </c>
      <c r="I213" s="175">
        <f t="shared" si="21"/>
        <v>2866.3735165552444</v>
      </c>
      <c r="J213" s="175">
        <f t="shared" si="19"/>
        <v>513.40680168827305</v>
      </c>
      <c r="K213" s="176">
        <f t="shared" si="20"/>
        <v>7.5117964257512661E-3</v>
      </c>
    </row>
    <row r="214" spans="1:11" x14ac:dyDescent="0.2">
      <c r="A214" s="500"/>
      <c r="B214" s="500"/>
      <c r="C214" s="500"/>
      <c r="D214" s="500"/>
      <c r="E214" s="535"/>
      <c r="F214" s="173" t="s">
        <v>296</v>
      </c>
      <c r="G214" s="178">
        <v>89.407843130387207</v>
      </c>
      <c r="H214" s="171">
        <v>74.853737897097815</v>
      </c>
      <c r="I214" s="175">
        <f t="shared" si="21"/>
        <v>3029.1690853766181</v>
      </c>
      <c r="J214" s="175">
        <f t="shared" si="19"/>
        <v>270.83147440077113</v>
      </c>
      <c r="K214" s="176">
        <f t="shared" si="20"/>
        <v>3.932531944706239E-3</v>
      </c>
    </row>
    <row r="215" spans="1:11" x14ac:dyDescent="0.2">
      <c r="A215" s="500"/>
      <c r="B215" s="500"/>
      <c r="C215" s="500"/>
      <c r="D215" s="500"/>
      <c r="E215" s="535"/>
      <c r="F215" s="173" t="s">
        <v>297</v>
      </c>
      <c r="G215" s="178">
        <v>44.405895421425654</v>
      </c>
      <c r="H215" s="171">
        <v>62.818431019525228</v>
      </c>
      <c r="I215" s="175">
        <f t="shared" si="21"/>
        <v>2017.0202180575081</v>
      </c>
      <c r="J215" s="175">
        <f t="shared" si="19"/>
        <v>89.567588865962875</v>
      </c>
      <c r="K215" s="176">
        <f t="shared" si="20"/>
        <v>1.3755755841612343E-3</v>
      </c>
    </row>
    <row r="216" spans="1:11" x14ac:dyDescent="0.2">
      <c r="A216" s="500"/>
      <c r="B216" s="500"/>
      <c r="C216" s="500"/>
      <c r="D216" s="500"/>
      <c r="E216" s="535"/>
      <c r="F216" s="173" t="s">
        <v>298</v>
      </c>
      <c r="G216" s="178">
        <v>89.407843130387207</v>
      </c>
      <c r="H216" s="171">
        <v>54.599197054353716</v>
      </c>
      <c r="I216" s="175">
        <f t="shared" si="21"/>
        <v>1456.8684150915653</v>
      </c>
      <c r="J216" s="175">
        <f t="shared" si="19"/>
        <v>130.25546271812252</v>
      </c>
      <c r="K216" s="176">
        <f t="shared" si="20"/>
        <v>2.0922702831073759E-3</v>
      </c>
    </row>
    <row r="217" spans="1:11" x14ac:dyDescent="0.2">
      <c r="A217" s="500"/>
      <c r="B217" s="500"/>
      <c r="C217" s="500"/>
      <c r="D217" s="500"/>
      <c r="E217" s="535"/>
      <c r="F217" s="173" t="s">
        <v>299</v>
      </c>
      <c r="G217" s="178">
        <v>45.001947708961566</v>
      </c>
      <c r="H217" s="171">
        <v>50.196036001583252</v>
      </c>
      <c r="I217" s="175">
        <f t="shared" si="21"/>
        <v>1198.6745192084004</v>
      </c>
      <c r="J217" s="175">
        <f t="shared" si="19"/>
        <v>53.942688033481076</v>
      </c>
      <c r="K217" s="176">
        <f t="shared" si="20"/>
        <v>8.9010207129916355E-4</v>
      </c>
    </row>
    <row r="218" spans="1:11" x14ac:dyDescent="0.2">
      <c r="A218" s="500"/>
      <c r="B218" s="500"/>
      <c r="C218" s="500"/>
      <c r="D218" s="500"/>
      <c r="E218" s="535"/>
      <c r="F218" s="173" t="s">
        <v>300</v>
      </c>
      <c r="G218" s="178">
        <v>536.74508492609129</v>
      </c>
      <c r="H218" s="171">
        <v>54.892741124538411</v>
      </c>
      <c r="I218" s="175">
        <f t="shared" si="21"/>
        <v>1475.1046242925559</v>
      </c>
      <c r="J218" s="175">
        <f t="shared" si="19"/>
        <v>791.75515684077789</v>
      </c>
      <c r="K218" s="176">
        <f t="shared" si="20"/>
        <v>1.2696019169219686E-2</v>
      </c>
    </row>
    <row r="219" spans="1:11" x14ac:dyDescent="0.2">
      <c r="A219" s="500"/>
      <c r="B219" s="500"/>
      <c r="C219" s="500"/>
      <c r="D219" s="500"/>
      <c r="E219" s="535"/>
      <c r="F219" s="173" t="s">
        <v>301</v>
      </c>
      <c r="G219" s="178">
        <v>89.109816986619265</v>
      </c>
      <c r="H219" s="171">
        <v>106.55649747704516</v>
      </c>
      <c r="I219" s="175">
        <f t="shared" si="21"/>
        <v>6872.7993886652794</v>
      </c>
      <c r="J219" s="175">
        <f t="shared" si="19"/>
        <v>612.43389570971181</v>
      </c>
      <c r="K219" s="176">
        <f t="shared" si="20"/>
        <v>7.9424608353083192E-3</v>
      </c>
    </row>
    <row r="220" spans="1:11" x14ac:dyDescent="0.2">
      <c r="A220" s="500"/>
      <c r="B220" s="500"/>
      <c r="C220" s="500"/>
      <c r="D220" s="500"/>
      <c r="E220" s="535"/>
      <c r="F220" s="173" t="s">
        <v>302</v>
      </c>
      <c r="G220" s="178">
        <v>313.22547710012316</v>
      </c>
      <c r="H220" s="171">
        <v>111.546746670185</v>
      </c>
      <c r="I220" s="175">
        <f t="shared" si="21"/>
        <v>7642.7251469789453</v>
      </c>
      <c r="J220" s="175">
        <f t="shared" si="19"/>
        <v>2393.8962305075888</v>
      </c>
      <c r="K220" s="176">
        <f t="shared" si="20"/>
        <v>3.0594302246273263E-2</v>
      </c>
    </row>
    <row r="221" spans="1:11" x14ac:dyDescent="0.2">
      <c r="A221" s="500"/>
      <c r="B221" s="500"/>
      <c r="C221" s="500"/>
      <c r="D221" s="500"/>
      <c r="E221" s="535"/>
      <c r="F221" s="173" t="s">
        <v>303</v>
      </c>
      <c r="G221" s="178">
        <v>402.03726794297455</v>
      </c>
      <c r="H221" s="171">
        <v>110.37257038944624</v>
      </c>
      <c r="I221" s="175">
        <f t="shared" si="21"/>
        <v>7457.3769757943837</v>
      </c>
      <c r="J221" s="175">
        <f t="shared" si="19"/>
        <v>2998.1434653692158</v>
      </c>
      <c r="K221" s="176">
        <f t="shared" si="20"/>
        <v>3.8446630437203713E-2</v>
      </c>
    </row>
    <row r="222" spans="1:11" x14ac:dyDescent="0.2">
      <c r="A222" s="500"/>
      <c r="B222" s="500"/>
      <c r="C222" s="500"/>
      <c r="D222" s="500"/>
      <c r="E222" s="535"/>
      <c r="F222" s="173" t="s">
        <v>304</v>
      </c>
      <c r="G222" s="178">
        <v>44.405895421425654</v>
      </c>
      <c r="H222" s="171">
        <v>88.650309195778618</v>
      </c>
      <c r="I222" s="175">
        <f t="shared" si="21"/>
        <v>4485.0408706291764</v>
      </c>
      <c r="J222" s="175">
        <f t="shared" si="19"/>
        <v>199.16225586197908</v>
      </c>
      <c r="K222" s="176">
        <f t="shared" si="20"/>
        <v>2.7394968027303975E-3</v>
      </c>
    </row>
    <row r="223" spans="1:11" x14ac:dyDescent="0.2">
      <c r="A223" s="500">
        <v>2</v>
      </c>
      <c r="B223" s="500"/>
      <c r="C223" s="500"/>
      <c r="D223" s="500" t="s">
        <v>35</v>
      </c>
      <c r="E223" s="535">
        <f>Assumptions!D62</f>
        <v>6772.8780000000015</v>
      </c>
      <c r="F223" s="179" t="s">
        <v>173</v>
      </c>
      <c r="G223" s="177">
        <v>74.208509798221399</v>
      </c>
      <c r="H223" s="171">
        <v>102.74042456464407</v>
      </c>
      <c r="I223" s="175">
        <f>EXP(-1.996+2.32*LN(H223))</f>
        <v>6315.2152851552382</v>
      </c>
      <c r="J223" s="175">
        <f t="shared" si="19"/>
        <v>468.64271536632003</v>
      </c>
      <c r="K223" s="176">
        <f t="shared" si="20"/>
        <v>6.1490224602538564E-3</v>
      </c>
    </row>
    <row r="224" spans="1:11" x14ac:dyDescent="0.2">
      <c r="A224" s="500"/>
      <c r="B224" s="501"/>
      <c r="C224" s="501"/>
      <c r="D224" s="501"/>
      <c r="E224" s="535"/>
      <c r="F224" s="179" t="s">
        <v>170</v>
      </c>
      <c r="G224" s="177">
        <v>149.31109802774665</v>
      </c>
      <c r="H224" s="171">
        <v>70.450576844327372</v>
      </c>
      <c r="I224" s="175">
        <f t="shared" ref="I224:I287" si="22">EXP(-1.996+2.32*LN(H224))</f>
        <v>2631.7242245074845</v>
      </c>
      <c r="J224" s="175">
        <f t="shared" si="19"/>
        <v>392.9456336674325</v>
      </c>
      <c r="K224" s="176">
        <f t="shared" si="20"/>
        <v>5.8174258027709766E-3</v>
      </c>
    </row>
    <row r="225" spans="1:11" x14ac:dyDescent="0.2">
      <c r="A225" s="500"/>
      <c r="B225" s="501"/>
      <c r="C225" s="501"/>
      <c r="D225" s="501"/>
      <c r="E225" s="535"/>
      <c r="F225" s="179" t="s">
        <v>171</v>
      </c>
      <c r="G225" s="177">
        <v>670.55882347790418</v>
      </c>
      <c r="H225" s="171">
        <v>96.869543160950116</v>
      </c>
      <c r="I225" s="175">
        <f t="shared" si="22"/>
        <v>5509.3788545898087</v>
      </c>
      <c r="J225" s="175">
        <f t="shared" si="19"/>
        <v>3694.3626028277854</v>
      </c>
      <c r="K225" s="176">
        <f t="shared" si="20"/>
        <v>4.9394778405825783E-2</v>
      </c>
    </row>
    <row r="226" spans="1:11" x14ac:dyDescent="0.2">
      <c r="A226" s="500"/>
      <c r="B226" s="501"/>
      <c r="C226" s="501"/>
      <c r="D226" s="501"/>
      <c r="E226" s="535"/>
      <c r="F226" s="179" t="s">
        <v>172</v>
      </c>
      <c r="G226" s="177">
        <v>379.98333330414573</v>
      </c>
      <c r="H226" s="171">
        <v>111.546746670185</v>
      </c>
      <c r="I226" s="175">
        <f t="shared" si="22"/>
        <v>7642.7251469789453</v>
      </c>
      <c r="J226" s="175">
        <f t="shared" si="19"/>
        <v>2904.108176876477</v>
      </c>
      <c r="K226" s="176">
        <f t="shared" si="20"/>
        <v>3.7114876654613153E-2</v>
      </c>
    </row>
    <row r="227" spans="1:11" x14ac:dyDescent="0.2">
      <c r="A227" s="500">
        <v>3</v>
      </c>
      <c r="B227" s="501"/>
      <c r="C227" s="501"/>
      <c r="D227" s="501" t="s">
        <v>35</v>
      </c>
      <c r="E227" s="535">
        <f>Assumptions!D63</f>
        <v>4319.8270000000002</v>
      </c>
      <c r="F227" s="179" t="s">
        <v>174</v>
      </c>
      <c r="G227" s="177">
        <v>89.407843130387207</v>
      </c>
      <c r="H227" s="171">
        <v>215.75489158575255</v>
      </c>
      <c r="I227" s="175">
        <f t="shared" si="22"/>
        <v>35313.187794069294</v>
      </c>
      <c r="J227" s="175">
        <f t="shared" si="19"/>
        <v>3157.2759547260516</v>
      </c>
      <c r="K227" s="176">
        <f t="shared" si="20"/>
        <v>3.2671312108095783E-2</v>
      </c>
    </row>
    <row r="228" spans="1:11" x14ac:dyDescent="0.2">
      <c r="A228" s="500"/>
      <c r="B228" s="501"/>
      <c r="C228" s="501"/>
      <c r="D228" s="501"/>
      <c r="E228" s="535"/>
      <c r="F228" s="179" t="s">
        <v>175</v>
      </c>
      <c r="G228" s="177">
        <v>44.703921565193603</v>
      </c>
      <c r="H228" s="171">
        <v>52.837932633245529</v>
      </c>
      <c r="I228" s="175">
        <f t="shared" si="22"/>
        <v>1350.151518343893</v>
      </c>
      <c r="J228" s="175">
        <f t="shared" si="19"/>
        <v>60.357067577172451</v>
      </c>
      <c r="K228" s="176">
        <f t="shared" si="20"/>
        <v>9.7973114193373469E-4</v>
      </c>
    </row>
    <row r="229" spans="1:11" x14ac:dyDescent="0.2">
      <c r="A229" s="500"/>
      <c r="B229" s="501"/>
      <c r="C229" s="501"/>
      <c r="D229" s="501"/>
      <c r="E229" s="535"/>
      <c r="F229" s="179" t="s">
        <v>176</v>
      </c>
      <c r="G229" s="177">
        <v>44.703921565193603</v>
      </c>
      <c r="H229" s="171">
        <v>264.18966316622766</v>
      </c>
      <c r="I229" s="175">
        <f t="shared" si="22"/>
        <v>56492.776408953549</v>
      </c>
      <c r="J229" s="175">
        <f t="shared" si="19"/>
        <v>2525.4486455858787</v>
      </c>
      <c r="K229" s="176">
        <f t="shared" si="20"/>
        <v>2.4493278548343374E-2</v>
      </c>
    </row>
    <row r="230" spans="1:11" x14ac:dyDescent="0.2">
      <c r="A230" s="500"/>
      <c r="B230" s="501"/>
      <c r="C230" s="501"/>
      <c r="D230" s="501"/>
      <c r="E230" s="535"/>
      <c r="F230" s="179" t="s">
        <v>177</v>
      </c>
      <c r="G230" s="177">
        <v>44.703921565193603</v>
      </c>
      <c r="H230" s="171">
        <v>167.32012000527749</v>
      </c>
      <c r="I230" s="175">
        <f t="shared" si="22"/>
        <v>19578.524661807336</v>
      </c>
      <c r="J230" s="175">
        <f t="shared" si="19"/>
        <v>875.2368308436437</v>
      </c>
      <c r="K230" s="176">
        <f t="shared" si="20"/>
        <v>9.8245261732799478E-3</v>
      </c>
    </row>
    <row r="231" spans="1:11" x14ac:dyDescent="0.2">
      <c r="A231" s="500">
        <v>4</v>
      </c>
      <c r="B231" s="501"/>
      <c r="C231" s="501"/>
      <c r="D231" s="501" t="s">
        <v>34</v>
      </c>
      <c r="E231" s="535">
        <f>Assumptions!D64</f>
        <v>1612.0500000000002</v>
      </c>
      <c r="F231" s="173" t="s">
        <v>305</v>
      </c>
      <c r="G231" s="177">
        <v>715.26274504309765</v>
      </c>
      <c r="H231" s="171">
        <v>61.644254738786451</v>
      </c>
      <c r="I231" s="175">
        <f t="shared" si="22"/>
        <v>1930.6300475700427</v>
      </c>
      <c r="J231" s="175">
        <f t="shared" si="19"/>
        <v>1380.9077474876349</v>
      </c>
      <c r="K231" s="176">
        <f t="shared" si="20"/>
        <v>2.1336367091001333E-2</v>
      </c>
    </row>
    <row r="232" spans="1:11" x14ac:dyDescent="0.2">
      <c r="A232" s="500"/>
      <c r="B232" s="501"/>
      <c r="C232" s="501"/>
      <c r="D232" s="501"/>
      <c r="E232" s="535"/>
      <c r="F232" s="173" t="s">
        <v>306</v>
      </c>
      <c r="G232" s="177">
        <v>223.51960782596802</v>
      </c>
      <c r="H232" s="171">
        <v>48.434771580475058</v>
      </c>
      <c r="I232" s="175">
        <f t="shared" si="22"/>
        <v>1103.3493611602778</v>
      </c>
      <c r="J232" s="175">
        <f t="shared" si="19"/>
        <v>246.62021650157763</v>
      </c>
      <c r="K232" s="176">
        <f t="shared" si="20"/>
        <v>4.1162315338188144E-3</v>
      </c>
    </row>
    <row r="233" spans="1:11" x14ac:dyDescent="0.2">
      <c r="A233" s="500"/>
      <c r="B233" s="501"/>
      <c r="C233" s="501"/>
      <c r="D233" s="501"/>
      <c r="E233" s="535"/>
      <c r="F233" s="173" t="s">
        <v>307</v>
      </c>
      <c r="G233" s="177">
        <v>2279.8999998248742</v>
      </c>
      <c r="H233" s="171">
        <v>49.315403791029162</v>
      </c>
      <c r="I233" s="175">
        <f t="shared" si="22"/>
        <v>1150.4502185044485</v>
      </c>
      <c r="J233" s="175">
        <f t="shared" si="19"/>
        <v>2622.9114529668186</v>
      </c>
      <c r="K233" s="176">
        <f t="shared" si="20"/>
        <v>4.3526188865642731E-2</v>
      </c>
    </row>
    <row r="234" spans="1:11" ht="26" x14ac:dyDescent="0.2">
      <c r="A234" s="162">
        <v>5</v>
      </c>
      <c r="B234" s="170"/>
      <c r="C234" s="6"/>
      <c r="D234" s="6" t="s">
        <v>34</v>
      </c>
      <c r="E234" s="171">
        <f>Assumptions!D65</f>
        <v>353.58800000000002</v>
      </c>
      <c r="F234" s="173" t="s">
        <v>323</v>
      </c>
      <c r="G234" s="177">
        <v>0</v>
      </c>
      <c r="H234" s="171">
        <v>0</v>
      </c>
      <c r="I234" s="175">
        <v>0</v>
      </c>
      <c r="J234" s="175">
        <f t="shared" si="19"/>
        <v>0</v>
      </c>
      <c r="K234" s="176">
        <f t="shared" si="20"/>
        <v>0</v>
      </c>
    </row>
    <row r="235" spans="1:11" x14ac:dyDescent="0.2">
      <c r="A235" s="500">
        <v>6</v>
      </c>
      <c r="B235" s="501"/>
      <c r="C235" s="501"/>
      <c r="D235" s="501" t="s">
        <v>35</v>
      </c>
      <c r="E235" s="535">
        <f>Assumptions!D66</f>
        <v>4915.7929999999997</v>
      </c>
      <c r="F235" s="179" t="s">
        <v>178</v>
      </c>
      <c r="G235" s="177">
        <v>804.67058817348482</v>
      </c>
      <c r="H235" s="171">
        <v>77.702842107713991</v>
      </c>
      <c r="I235" s="175">
        <f t="shared" si="22"/>
        <v>3303.4050751547834</v>
      </c>
      <c r="J235" s="175">
        <f t="shared" si="19"/>
        <v>2658.1529048000743</v>
      </c>
      <c r="K235" s="176">
        <f t="shared" si="20"/>
        <v>3.8138322999150549E-2</v>
      </c>
    </row>
    <row r="236" spans="1:11" x14ac:dyDescent="0.2">
      <c r="A236" s="500"/>
      <c r="B236" s="501"/>
      <c r="C236" s="501"/>
      <c r="D236" s="501"/>
      <c r="E236" s="535"/>
      <c r="F236" s="179" t="s">
        <v>179</v>
      </c>
      <c r="G236" s="177">
        <v>536.44705878232332</v>
      </c>
      <c r="H236" s="171">
        <v>66.047415791556915</v>
      </c>
      <c r="I236" s="175">
        <f t="shared" si="22"/>
        <v>2265.7591333900527</v>
      </c>
      <c r="J236" s="175">
        <f t="shared" si="19"/>
        <v>1215.4598230162796</v>
      </c>
      <c r="K236" s="176">
        <f t="shared" si="20"/>
        <v>1.8369958911257533E-2</v>
      </c>
    </row>
    <row r="237" spans="1:11" x14ac:dyDescent="0.2">
      <c r="A237" s="500"/>
      <c r="B237" s="501"/>
      <c r="C237" s="501"/>
      <c r="D237" s="501"/>
      <c r="E237" s="535"/>
      <c r="F237" s="179" t="s">
        <v>175</v>
      </c>
      <c r="G237" s="177">
        <v>1341.1176469558084</v>
      </c>
      <c r="H237" s="171">
        <v>35.225288422163686</v>
      </c>
      <c r="I237" s="175">
        <f t="shared" si="22"/>
        <v>527.04875059396443</v>
      </c>
      <c r="J237" s="175">
        <f t="shared" si="19"/>
        <v>706.83438022757628</v>
      </c>
      <c r="K237" s="176">
        <f t="shared" si="20"/>
        <v>1.3063081892449799E-2</v>
      </c>
    </row>
    <row r="238" spans="1:11" x14ac:dyDescent="0.2">
      <c r="A238" s="500"/>
      <c r="B238" s="501"/>
      <c r="C238" s="501"/>
      <c r="D238" s="501"/>
      <c r="E238" s="535"/>
      <c r="F238" s="179" t="s">
        <v>180</v>
      </c>
      <c r="G238" s="177">
        <v>89.407843130387207</v>
      </c>
      <c r="H238" s="171">
        <v>88.063221055409201</v>
      </c>
      <c r="I238" s="175">
        <f t="shared" si="22"/>
        <v>4416.4326131009148</v>
      </c>
      <c r="J238" s="175">
        <f t="shared" si="19"/>
        <v>394.86371426805266</v>
      </c>
      <c r="K238" s="176">
        <f t="shared" si="20"/>
        <v>5.4429507885207472E-3</v>
      </c>
    </row>
    <row r="239" spans="1:11" x14ac:dyDescent="0.2">
      <c r="A239" s="500"/>
      <c r="B239" s="501"/>
      <c r="C239" s="501"/>
      <c r="D239" s="501"/>
      <c r="E239" s="535"/>
      <c r="F239" s="179" t="s">
        <v>181</v>
      </c>
      <c r="G239" s="177">
        <v>89.407843130387207</v>
      </c>
      <c r="H239" s="171">
        <v>140.90115368865474</v>
      </c>
      <c r="I239" s="175">
        <f t="shared" si="22"/>
        <v>13141.046982948386</v>
      </c>
      <c r="J239" s="175">
        <f t="shared" si="19"/>
        <v>1174.9126672204975</v>
      </c>
      <c r="K239" s="176">
        <f t="shared" si="20"/>
        <v>1.3933954018613116E-2</v>
      </c>
    </row>
    <row r="240" spans="1:11" ht="26" x14ac:dyDescent="0.2">
      <c r="A240" s="162">
        <v>7</v>
      </c>
      <c r="B240" s="170"/>
      <c r="C240" s="6"/>
      <c r="D240" s="6" t="s">
        <v>34</v>
      </c>
      <c r="E240" s="171">
        <f>Assumptions!D67</f>
        <v>2549.9479999999994</v>
      </c>
      <c r="F240" s="173" t="s">
        <v>323</v>
      </c>
      <c r="G240" s="177">
        <v>0</v>
      </c>
      <c r="H240" s="171">
        <v>0</v>
      </c>
      <c r="I240" s="175">
        <v>0</v>
      </c>
      <c r="J240" s="175">
        <f t="shared" si="19"/>
        <v>0</v>
      </c>
      <c r="K240" s="176">
        <f t="shared" si="20"/>
        <v>0</v>
      </c>
    </row>
    <row r="241" spans="1:11" x14ac:dyDescent="0.2">
      <c r="A241" s="162">
        <v>8</v>
      </c>
      <c r="B241" s="170"/>
      <c r="C241" s="6"/>
      <c r="D241" s="6" t="s">
        <v>36</v>
      </c>
      <c r="E241" s="171">
        <f>Assumptions!D68</f>
        <v>741.26900000000001</v>
      </c>
      <c r="F241" s="173" t="s">
        <v>323</v>
      </c>
      <c r="G241" s="177">
        <v>0</v>
      </c>
      <c r="H241" s="171">
        <v>0</v>
      </c>
      <c r="I241" s="175">
        <v>0</v>
      </c>
      <c r="J241" s="175">
        <f t="shared" si="19"/>
        <v>0</v>
      </c>
      <c r="K241" s="176">
        <f t="shared" si="20"/>
        <v>0</v>
      </c>
    </row>
    <row r="242" spans="1:11" x14ac:dyDescent="0.2">
      <c r="A242" s="500">
        <v>9</v>
      </c>
      <c r="B242" s="501"/>
      <c r="C242" s="501"/>
      <c r="D242" s="501" t="s">
        <v>35</v>
      </c>
      <c r="E242" s="535">
        <f>Assumptions!D69</f>
        <v>8643.7000000000025</v>
      </c>
      <c r="F242" s="179" t="s">
        <v>173</v>
      </c>
      <c r="G242" s="177">
        <v>312.92745095635524</v>
      </c>
      <c r="H242" s="171">
        <v>60.386208723709167</v>
      </c>
      <c r="I242" s="175">
        <f t="shared" si="22"/>
        <v>1840.4491642784685</v>
      </c>
      <c r="J242" s="175">
        <f t="shared" si="19"/>
        <v>575.92706559241537</v>
      </c>
      <c r="K242" s="176">
        <f t="shared" si="20"/>
        <v>8.9575418691084305E-3</v>
      </c>
    </row>
    <row r="243" spans="1:11" x14ac:dyDescent="0.2">
      <c r="A243" s="500"/>
      <c r="B243" s="501"/>
      <c r="C243" s="501"/>
      <c r="D243" s="501"/>
      <c r="E243" s="535"/>
      <c r="F243" s="179" t="s">
        <v>182</v>
      </c>
      <c r="G243" s="177">
        <v>312.92745095635524</v>
      </c>
      <c r="H243" s="171">
        <v>220.15805263852297</v>
      </c>
      <c r="I243" s="175">
        <f t="shared" si="22"/>
        <v>37007.728419961466</v>
      </c>
      <c r="J243" s="175">
        <f t="shared" si="19"/>
        <v>11580.734120143605</v>
      </c>
      <c r="K243" s="176">
        <f t="shared" si="20"/>
        <v>0.1190645484988913</v>
      </c>
    </row>
    <row r="244" spans="1:11" x14ac:dyDescent="0.2">
      <c r="A244" s="500"/>
      <c r="B244" s="501"/>
      <c r="C244" s="501"/>
      <c r="D244" s="501"/>
      <c r="E244" s="535"/>
      <c r="F244" s="179" t="s">
        <v>172</v>
      </c>
      <c r="G244" s="177">
        <v>312.92745095635524</v>
      </c>
      <c r="H244" s="171">
        <v>171.09425805050932</v>
      </c>
      <c r="I244" s="175">
        <f t="shared" si="22"/>
        <v>20618.374462953569</v>
      </c>
      <c r="J244" s="175">
        <f t="shared" si="19"/>
        <v>6452.0553635556698</v>
      </c>
      <c r="K244" s="176">
        <f t="shared" si="20"/>
        <v>7.1909155560342691E-2</v>
      </c>
    </row>
    <row r="245" spans="1:11" x14ac:dyDescent="0.2">
      <c r="A245" s="500"/>
      <c r="B245" s="501"/>
      <c r="C245" s="501"/>
      <c r="D245" s="501"/>
      <c r="E245" s="535"/>
      <c r="F245" s="179" t="s">
        <v>183</v>
      </c>
      <c r="G245" s="177">
        <v>178.81568626077441</v>
      </c>
      <c r="H245" s="171">
        <v>57.241093686015986</v>
      </c>
      <c r="I245" s="175">
        <f t="shared" si="22"/>
        <v>1625.6632783020398</v>
      </c>
      <c r="J245" s="175">
        <f t="shared" si="19"/>
        <v>290.69409473851954</v>
      </c>
      <c r="K245" s="176">
        <f t="shared" si="20"/>
        <v>4.5992934163000317E-3</v>
      </c>
    </row>
    <row r="246" spans="1:11" x14ac:dyDescent="0.2">
      <c r="A246" s="500"/>
      <c r="B246" s="501"/>
      <c r="C246" s="501"/>
      <c r="D246" s="501"/>
      <c r="E246" s="535"/>
      <c r="F246" s="179" t="s">
        <v>184</v>
      </c>
      <c r="G246" s="177">
        <v>89.407843130387207</v>
      </c>
      <c r="H246" s="171">
        <v>184.93276421635935</v>
      </c>
      <c r="I246" s="175">
        <f t="shared" si="22"/>
        <v>24695.644915365869</v>
      </c>
      <c r="J246" s="175">
        <f t="shared" si="19"/>
        <v>2207.984346596776</v>
      </c>
      <c r="K246" s="176">
        <f t="shared" si="20"/>
        <v>2.4003412977376494E-2</v>
      </c>
    </row>
    <row r="247" spans="1:11" x14ac:dyDescent="0.2">
      <c r="A247" s="500"/>
      <c r="B247" s="501"/>
      <c r="C247" s="501"/>
      <c r="D247" s="501"/>
      <c r="E247" s="535"/>
      <c r="F247" s="179" t="s">
        <v>185</v>
      </c>
      <c r="G247" s="177">
        <v>44.703921565193603</v>
      </c>
      <c r="H247" s="171">
        <v>52.837932633245529</v>
      </c>
      <c r="I247" s="175">
        <f t="shared" si="22"/>
        <v>1350.151518343893</v>
      </c>
      <c r="J247" s="175">
        <f t="shared" si="19"/>
        <v>60.357067577172451</v>
      </c>
      <c r="K247" s="176">
        <f t="shared" si="20"/>
        <v>9.7973114193373469E-4</v>
      </c>
    </row>
    <row r="248" spans="1:11" x14ac:dyDescent="0.2">
      <c r="A248" s="500"/>
      <c r="B248" s="501"/>
      <c r="C248" s="501"/>
      <c r="D248" s="501"/>
      <c r="E248" s="535"/>
      <c r="F248" s="179" t="s">
        <v>186</v>
      </c>
      <c r="G248" s="177">
        <v>134.11176469558083</v>
      </c>
      <c r="H248" s="171">
        <v>126.22395017941986</v>
      </c>
      <c r="I248" s="175">
        <f t="shared" si="22"/>
        <v>10181.156523159712</v>
      </c>
      <c r="J248" s="175">
        <f t="shared" si="19"/>
        <v>1365.4128679628734</v>
      </c>
      <c r="K248" s="176">
        <f t="shared" si="20"/>
        <v>1.6773360013291435E-2</v>
      </c>
    </row>
    <row r="249" spans="1:11" x14ac:dyDescent="0.2">
      <c r="A249" s="500"/>
      <c r="B249" s="501"/>
      <c r="C249" s="501"/>
      <c r="D249" s="501"/>
      <c r="E249" s="535"/>
      <c r="F249" s="179" t="s">
        <v>171</v>
      </c>
      <c r="G249" s="177">
        <v>178.81568626077441</v>
      </c>
      <c r="H249" s="171">
        <v>312.62443474670266</v>
      </c>
      <c r="I249" s="175">
        <f t="shared" si="22"/>
        <v>83483.642059848586</v>
      </c>
      <c r="J249" s="175">
        <f t="shared" si="19"/>
        <v>14928.184746480676</v>
      </c>
      <c r="K249" s="176">
        <f t="shared" si="20"/>
        <v>0.13718957462466544</v>
      </c>
    </row>
    <row r="250" spans="1:11" x14ac:dyDescent="0.2">
      <c r="A250" s="500"/>
      <c r="B250" s="501"/>
      <c r="C250" s="501"/>
      <c r="D250" s="501"/>
      <c r="E250" s="535"/>
      <c r="F250" s="179" t="s">
        <v>187</v>
      </c>
      <c r="G250" s="177">
        <v>44.703921565193603</v>
      </c>
      <c r="H250" s="171">
        <v>264.18966316622766</v>
      </c>
      <c r="I250" s="175">
        <f t="shared" si="22"/>
        <v>56492.776408953549</v>
      </c>
      <c r="J250" s="175">
        <f t="shared" si="19"/>
        <v>2525.4486455858787</v>
      </c>
      <c r="K250" s="176">
        <f t="shared" si="20"/>
        <v>2.4493278548343374E-2</v>
      </c>
    </row>
    <row r="251" spans="1:11" x14ac:dyDescent="0.2">
      <c r="A251" s="500"/>
      <c r="B251" s="501"/>
      <c r="C251" s="501"/>
      <c r="D251" s="501"/>
      <c r="E251" s="535"/>
      <c r="F251" s="179" t="s">
        <v>188</v>
      </c>
      <c r="G251" s="177">
        <v>178.81568626077441</v>
      </c>
      <c r="H251" s="171">
        <v>215.75489158575255</v>
      </c>
      <c r="I251" s="175">
        <f t="shared" si="22"/>
        <v>35313.187794069294</v>
      </c>
      <c r="J251" s="175">
        <f t="shared" si="19"/>
        <v>6314.5519094521032</v>
      </c>
      <c r="K251" s="176">
        <f t="shared" si="20"/>
        <v>6.5342624216191567E-2</v>
      </c>
    </row>
    <row r="252" spans="1:11" x14ac:dyDescent="0.2">
      <c r="A252" s="500">
        <v>10</v>
      </c>
      <c r="B252" s="501"/>
      <c r="C252" s="501"/>
      <c r="D252" s="501" t="s">
        <v>35</v>
      </c>
      <c r="E252" s="535">
        <f>Assumptions!D70</f>
        <v>2860.4270000000001</v>
      </c>
      <c r="F252" s="179" t="s">
        <v>189</v>
      </c>
      <c r="G252" s="177">
        <v>89.407843130387207</v>
      </c>
      <c r="H252" s="171">
        <v>70.450576844327372</v>
      </c>
      <c r="I252" s="175">
        <f t="shared" si="22"/>
        <v>2631.7242245074845</v>
      </c>
      <c r="J252" s="175">
        <f t="shared" si="19"/>
        <v>235.29678662720508</v>
      </c>
      <c r="K252" s="176">
        <f t="shared" si="20"/>
        <v>3.4834885046532791E-3</v>
      </c>
    </row>
    <row r="253" spans="1:11" x14ac:dyDescent="0.2">
      <c r="A253" s="500"/>
      <c r="B253" s="501"/>
      <c r="C253" s="501"/>
      <c r="D253" s="501"/>
      <c r="E253" s="535"/>
      <c r="F253" s="179" t="s">
        <v>190</v>
      </c>
      <c r="G253" s="177">
        <v>715.26274504309765</v>
      </c>
      <c r="H253" s="171">
        <v>61.644254738786451</v>
      </c>
      <c r="I253" s="175">
        <f t="shared" si="22"/>
        <v>1930.6300475700427</v>
      </c>
      <c r="J253" s="175">
        <f t="shared" si="19"/>
        <v>1380.9077474876349</v>
      </c>
      <c r="K253" s="176">
        <f t="shared" si="20"/>
        <v>2.1336367091001333E-2</v>
      </c>
    </row>
    <row r="254" spans="1:11" x14ac:dyDescent="0.2">
      <c r="A254" s="500"/>
      <c r="B254" s="501"/>
      <c r="C254" s="501"/>
      <c r="D254" s="501"/>
      <c r="E254" s="535"/>
      <c r="F254" s="179" t="s">
        <v>191</v>
      </c>
      <c r="G254" s="177">
        <v>89.407843130387207</v>
      </c>
      <c r="H254" s="171">
        <v>52.837932633245529</v>
      </c>
      <c r="I254" s="175">
        <f t="shared" si="22"/>
        <v>1350.151518343893</v>
      </c>
      <c r="J254" s="175">
        <f t="shared" si="19"/>
        <v>120.7141351543449</v>
      </c>
      <c r="K254" s="176">
        <f t="shared" si="20"/>
        <v>1.9594622838674694E-3</v>
      </c>
    </row>
    <row r="255" spans="1:11" x14ac:dyDescent="0.2">
      <c r="A255" s="500"/>
      <c r="B255" s="501"/>
      <c r="C255" s="501"/>
      <c r="D255" s="501"/>
      <c r="E255" s="535"/>
      <c r="F255" s="179" t="s">
        <v>171</v>
      </c>
      <c r="G255" s="177">
        <v>357.63137252154883</v>
      </c>
      <c r="H255" s="171">
        <v>92.466382108179673</v>
      </c>
      <c r="I255" s="175">
        <f t="shared" si="22"/>
        <v>4945.7343123372275</v>
      </c>
      <c r="J255" s="175">
        <f t="shared" si="19"/>
        <v>1768.749750248081</v>
      </c>
      <c r="K255" s="176">
        <f t="shared" si="20"/>
        <v>2.4003412977376494E-2</v>
      </c>
    </row>
    <row r="256" spans="1:11" x14ac:dyDescent="0.2">
      <c r="A256" s="500"/>
      <c r="B256" s="501"/>
      <c r="C256" s="501"/>
      <c r="D256" s="501"/>
      <c r="E256" s="535"/>
      <c r="F256" s="179" t="s">
        <v>188</v>
      </c>
      <c r="G256" s="177">
        <v>89.407843130387207</v>
      </c>
      <c r="H256" s="171">
        <v>158.51379789973657</v>
      </c>
      <c r="I256" s="175">
        <f t="shared" si="22"/>
        <v>17270.456616444637</v>
      </c>
      <c r="J256" s="175">
        <f t="shared" si="19"/>
        <v>1544.1142759532399</v>
      </c>
      <c r="K256" s="176">
        <f t="shared" si="20"/>
        <v>1.7635160554807221E-2</v>
      </c>
    </row>
    <row r="257" spans="1:11" x14ac:dyDescent="0.2">
      <c r="A257" s="500">
        <v>11</v>
      </c>
      <c r="B257" s="501"/>
      <c r="C257" s="501"/>
      <c r="D257" s="501" t="s">
        <v>35</v>
      </c>
      <c r="E257" s="535">
        <f>Assumptions!D71</f>
        <v>9034.3230000000021</v>
      </c>
      <c r="F257" s="170" t="s">
        <v>192</v>
      </c>
      <c r="G257" s="177">
        <v>670.55882347790418</v>
      </c>
      <c r="H257" s="171">
        <v>74.119877721636115</v>
      </c>
      <c r="I257" s="175">
        <f t="shared" si="22"/>
        <v>2960.7156859876632</v>
      </c>
      <c r="J257" s="175">
        <f t="shared" si="19"/>
        <v>1985.3340270484634</v>
      </c>
      <c r="K257" s="176">
        <f t="shared" si="20"/>
        <v>2.8918510934218856E-2</v>
      </c>
    </row>
    <row r="258" spans="1:11" x14ac:dyDescent="0.2">
      <c r="A258" s="500"/>
      <c r="B258" s="501"/>
      <c r="C258" s="501"/>
      <c r="D258" s="501"/>
      <c r="E258" s="535"/>
      <c r="F258" s="170" t="s">
        <v>193</v>
      </c>
      <c r="G258" s="177">
        <v>335.27941173895209</v>
      </c>
      <c r="H258" s="171">
        <v>41.096169825857629</v>
      </c>
      <c r="I258" s="175">
        <f t="shared" si="22"/>
        <v>753.64589870555687</v>
      </c>
      <c r="J258" s="175">
        <f t="shared" si="19"/>
        <v>252.68195357747297</v>
      </c>
      <c r="K258" s="176">
        <f t="shared" si="20"/>
        <v>4.4450764772919439E-3</v>
      </c>
    </row>
    <row r="259" spans="1:11" x14ac:dyDescent="0.2">
      <c r="A259" s="500"/>
      <c r="B259" s="501"/>
      <c r="C259" s="501"/>
      <c r="D259" s="501"/>
      <c r="E259" s="535"/>
      <c r="F259" s="170" t="s">
        <v>190</v>
      </c>
      <c r="G259" s="177">
        <v>335.27941173895209</v>
      </c>
      <c r="H259" s="171">
        <v>114.48218737203197</v>
      </c>
      <c r="I259" s="175">
        <f t="shared" si="22"/>
        <v>8117.4605301279162</v>
      </c>
      <c r="J259" s="175">
        <f t="shared" si="19"/>
        <v>2721.6173913554499</v>
      </c>
      <c r="K259" s="176">
        <f t="shared" si="20"/>
        <v>3.4494700622250248E-2</v>
      </c>
    </row>
    <row r="260" spans="1:11" x14ac:dyDescent="0.2">
      <c r="A260" s="500"/>
      <c r="B260" s="501"/>
      <c r="C260" s="501"/>
      <c r="D260" s="501"/>
      <c r="E260" s="535"/>
      <c r="F260" s="170" t="s">
        <v>186</v>
      </c>
      <c r="G260" s="177">
        <v>335.27941173895209</v>
      </c>
      <c r="H260" s="171">
        <v>58.708814036939465</v>
      </c>
      <c r="I260" s="175">
        <f t="shared" si="22"/>
        <v>1724.0104234170844</v>
      </c>
      <c r="J260" s="175">
        <f t="shared" si="19"/>
        <v>578.02520059510175</v>
      </c>
      <c r="K260" s="176">
        <f t="shared" si="20"/>
        <v>9.0715846475345786E-3</v>
      </c>
    </row>
    <row r="261" spans="1:11" x14ac:dyDescent="0.2">
      <c r="A261" s="500"/>
      <c r="B261" s="501"/>
      <c r="C261" s="501"/>
      <c r="D261" s="501"/>
      <c r="E261" s="535"/>
      <c r="F261" s="170" t="s">
        <v>194</v>
      </c>
      <c r="G261" s="177">
        <v>1005.838235216856</v>
      </c>
      <c r="H261" s="171">
        <v>139.92267345470577</v>
      </c>
      <c r="I261" s="175">
        <f t="shared" si="22"/>
        <v>12930.299764225994</v>
      </c>
      <c r="J261" s="175">
        <f t="shared" si="19"/>
        <v>13005.789895674003</v>
      </c>
      <c r="K261" s="176">
        <f t="shared" si="20"/>
        <v>0.15458736204786225</v>
      </c>
    </row>
    <row r="262" spans="1:11" x14ac:dyDescent="0.2">
      <c r="A262" s="500"/>
      <c r="B262" s="501"/>
      <c r="C262" s="501"/>
      <c r="D262" s="501"/>
      <c r="E262" s="535"/>
      <c r="F262" s="170" t="s">
        <v>195</v>
      </c>
      <c r="G262" s="177">
        <v>111.75980391298401</v>
      </c>
      <c r="H262" s="171">
        <v>44.031610527704601</v>
      </c>
      <c r="I262" s="175">
        <f t="shared" si="22"/>
        <v>884.46778318989118</v>
      </c>
      <c r="J262" s="175">
        <f t="shared" si="19"/>
        <v>98.847946016653893</v>
      </c>
      <c r="K262" s="176">
        <f t="shared" si="20"/>
        <v>1.7009221214127335E-3</v>
      </c>
    </row>
    <row r="263" spans="1:11" x14ac:dyDescent="0.2">
      <c r="A263" s="500"/>
      <c r="B263" s="501"/>
      <c r="C263" s="501"/>
      <c r="D263" s="501"/>
      <c r="E263" s="535"/>
      <c r="F263" s="170" t="s">
        <v>196</v>
      </c>
      <c r="G263" s="177">
        <v>111.75980391298401</v>
      </c>
      <c r="H263" s="171">
        <v>132.09483158311383</v>
      </c>
      <c r="I263" s="175">
        <f t="shared" si="22"/>
        <v>11313.665370654579</v>
      </c>
      <c r="J263" s="175">
        <f t="shared" si="19"/>
        <v>1264.4130233614733</v>
      </c>
      <c r="K263" s="176">
        <f t="shared" si="20"/>
        <v>1.5308299092714609E-2</v>
      </c>
    </row>
    <row r="264" spans="1:11" x14ac:dyDescent="0.2">
      <c r="A264" s="500"/>
      <c r="B264" s="501"/>
      <c r="C264" s="501"/>
      <c r="D264" s="501"/>
      <c r="E264" s="535"/>
      <c r="F264" s="170" t="s">
        <v>197</v>
      </c>
      <c r="G264" s="177">
        <v>111.75980391298401</v>
      </c>
      <c r="H264" s="171">
        <v>88.063221055409201</v>
      </c>
      <c r="I264" s="175">
        <f t="shared" si="22"/>
        <v>4416.4326131009148</v>
      </c>
      <c r="J264" s="175">
        <f t="shared" si="19"/>
        <v>493.57964283506584</v>
      </c>
      <c r="K264" s="176">
        <f t="shared" si="20"/>
        <v>6.803688485650934E-3</v>
      </c>
    </row>
    <row r="265" spans="1:11" x14ac:dyDescent="0.2">
      <c r="A265" s="500"/>
      <c r="B265" s="501"/>
      <c r="C265" s="501"/>
      <c r="D265" s="501"/>
      <c r="E265" s="535"/>
      <c r="F265" s="179" t="s">
        <v>182</v>
      </c>
      <c r="G265" s="177">
        <v>302.19850978070872</v>
      </c>
      <c r="H265" s="171">
        <v>246.5770189551458</v>
      </c>
      <c r="I265" s="175">
        <f t="shared" si="22"/>
        <v>48136.913583834968</v>
      </c>
      <c r="J265" s="175">
        <f t="shared" si="19"/>
        <v>14546.903550477682</v>
      </c>
      <c r="K265" s="176">
        <f t="shared" si="20"/>
        <v>0.14423384153516899</v>
      </c>
    </row>
    <row r="266" spans="1:11" x14ac:dyDescent="0.2">
      <c r="A266" s="500"/>
      <c r="B266" s="501"/>
      <c r="C266" s="501"/>
      <c r="D266" s="501"/>
      <c r="E266" s="535"/>
      <c r="F266" s="179" t="s">
        <v>187</v>
      </c>
      <c r="G266" s="177">
        <v>111.75980391298401</v>
      </c>
      <c r="H266" s="171">
        <v>528.37932633245532</v>
      </c>
      <c r="I266" s="175">
        <f t="shared" si="22"/>
        <v>282086.63433426002</v>
      </c>
      <c r="J266" s="175">
        <f t="shared" si="19"/>
        <v>31525.946939670521</v>
      </c>
      <c r="K266" s="176">
        <f t="shared" si="20"/>
        <v>0.24493278548343375</v>
      </c>
    </row>
    <row r="267" spans="1:11" x14ac:dyDescent="0.2">
      <c r="A267" s="500"/>
      <c r="B267" s="501"/>
      <c r="C267" s="501"/>
      <c r="D267" s="501"/>
      <c r="E267" s="535"/>
      <c r="F267" s="170" t="s">
        <v>198</v>
      </c>
      <c r="G267" s="177">
        <v>44.703921565193603</v>
      </c>
      <c r="H267" s="171">
        <v>176.1264421108184</v>
      </c>
      <c r="I267" s="175">
        <f t="shared" si="22"/>
        <v>22052.670992396976</v>
      </c>
      <c r="J267" s="175">
        <f t="shared" si="19"/>
        <v>985.84087434713456</v>
      </c>
      <c r="K267" s="176">
        <f t="shared" si="20"/>
        <v>1.0885901577041494E-2</v>
      </c>
    </row>
    <row r="268" spans="1:11" x14ac:dyDescent="0.2">
      <c r="A268" s="500"/>
      <c r="B268" s="501"/>
      <c r="C268" s="501"/>
      <c r="D268" s="501"/>
      <c r="E268" s="535"/>
      <c r="F268" s="170" t="s">
        <v>173</v>
      </c>
      <c r="G268" s="177">
        <v>44.703921565193603</v>
      </c>
      <c r="H268" s="171">
        <v>52.837932633245529</v>
      </c>
      <c r="I268" s="175">
        <f t="shared" si="22"/>
        <v>1350.151518343893</v>
      </c>
      <c r="J268" s="175">
        <f t="shared" si="19"/>
        <v>60.357067577172451</v>
      </c>
      <c r="K268" s="176">
        <f t="shared" si="20"/>
        <v>9.7973114193373469E-4</v>
      </c>
    </row>
    <row r="269" spans="1:11" x14ac:dyDescent="0.2">
      <c r="A269" s="500"/>
      <c r="B269" s="501"/>
      <c r="C269" s="501"/>
      <c r="D269" s="501"/>
      <c r="E269" s="535"/>
      <c r="F269" s="170" t="s">
        <v>199</v>
      </c>
      <c r="G269" s="177">
        <v>178.81568626077441</v>
      </c>
      <c r="H269" s="171">
        <v>127.69167053034337</v>
      </c>
      <c r="I269" s="175">
        <f t="shared" si="22"/>
        <v>10457.921400656976</v>
      </c>
      <c r="J269" s="175">
        <f t="shared" si="19"/>
        <v>1870.0403921197164</v>
      </c>
      <c r="K269" s="176">
        <f t="shared" si="20"/>
        <v>2.2887608065729748E-2</v>
      </c>
    </row>
    <row r="270" spans="1:11" x14ac:dyDescent="0.2">
      <c r="A270" s="500"/>
      <c r="B270" s="501"/>
      <c r="C270" s="501"/>
      <c r="D270" s="501"/>
      <c r="E270" s="535"/>
      <c r="F270" s="170" t="s">
        <v>172</v>
      </c>
      <c r="G270" s="177">
        <v>76</v>
      </c>
      <c r="H270" s="171">
        <v>594.42674212401198</v>
      </c>
      <c r="I270" s="175">
        <f t="shared" si="22"/>
        <v>370728.83056199673</v>
      </c>
      <c r="J270" s="175">
        <f t="shared" si="19"/>
        <v>28175.391122711753</v>
      </c>
      <c r="K270" s="176">
        <f t="shared" si="20"/>
        <v>0.21080452433534264</v>
      </c>
    </row>
    <row r="271" spans="1:11" x14ac:dyDescent="0.2">
      <c r="A271" s="162">
        <v>12</v>
      </c>
      <c r="B271" s="75"/>
      <c r="C271" s="75"/>
      <c r="D271" s="75" t="s">
        <v>37</v>
      </c>
      <c r="E271" s="481">
        <f>Assumptions!D72</f>
        <v>2315.3180000000002</v>
      </c>
      <c r="F271" s="170" t="s">
        <v>323</v>
      </c>
      <c r="G271" s="177">
        <v>0</v>
      </c>
      <c r="H271" s="171">
        <v>0</v>
      </c>
      <c r="I271" s="175">
        <v>0</v>
      </c>
      <c r="J271" s="175">
        <f t="shared" si="19"/>
        <v>0</v>
      </c>
      <c r="K271" s="176">
        <f t="shared" si="20"/>
        <v>0</v>
      </c>
    </row>
    <row r="272" spans="1:11" x14ac:dyDescent="0.2">
      <c r="A272" s="500">
        <v>13</v>
      </c>
      <c r="B272" s="501"/>
      <c r="C272" s="501"/>
      <c r="D272" s="501" t="s">
        <v>35</v>
      </c>
      <c r="E272" s="535">
        <f>Assumptions!D73</f>
        <v>5717.201</v>
      </c>
      <c r="F272" s="179" t="s">
        <v>188</v>
      </c>
      <c r="G272" s="177">
        <v>44.703921565193603</v>
      </c>
      <c r="H272" s="171">
        <v>167.32012000527749</v>
      </c>
      <c r="I272" s="175">
        <f t="shared" si="22"/>
        <v>19578.524661807336</v>
      </c>
      <c r="J272" s="175">
        <f t="shared" si="19"/>
        <v>875.2368308436437</v>
      </c>
      <c r="K272" s="176">
        <f t="shared" si="20"/>
        <v>9.8245261732799478E-3</v>
      </c>
    </row>
    <row r="273" spans="1:11" x14ac:dyDescent="0.2">
      <c r="A273" s="500"/>
      <c r="B273" s="501"/>
      <c r="C273" s="501"/>
      <c r="D273" s="501"/>
      <c r="E273" s="535"/>
      <c r="F273" s="179" t="s">
        <v>182</v>
      </c>
      <c r="G273" s="177">
        <v>44.703921565193603</v>
      </c>
      <c r="H273" s="171">
        <v>176.1264421108184</v>
      </c>
      <c r="I273" s="175">
        <f t="shared" si="22"/>
        <v>22052.670992396976</v>
      </c>
      <c r="J273" s="175">
        <f t="shared" si="19"/>
        <v>985.84087434713456</v>
      </c>
      <c r="K273" s="176">
        <f t="shared" si="20"/>
        <v>1.0885901577041494E-2</v>
      </c>
    </row>
    <row r="274" spans="1:11" x14ac:dyDescent="0.2">
      <c r="A274" s="500"/>
      <c r="B274" s="501"/>
      <c r="C274" s="501"/>
      <c r="D274" s="501"/>
      <c r="E274" s="535"/>
      <c r="F274" s="179" t="s">
        <v>171</v>
      </c>
      <c r="G274" s="177">
        <v>134.11176469558083</v>
      </c>
      <c r="H274" s="171">
        <v>275.93142597361555</v>
      </c>
      <c r="I274" s="175">
        <f t="shared" si="22"/>
        <v>62489.480995770718</v>
      </c>
      <c r="J274" s="175">
        <f t="shared" ref="J274:J309" si="23">(I274*G274)/1000</f>
        <v>8380.5745712537737</v>
      </c>
      <c r="K274" s="176">
        <f t="shared" ref="K274:K309" si="24">0.00000001*3.14*(H274/2)^2*G274</f>
        <v>8.0156521945615566E-2</v>
      </c>
    </row>
    <row r="275" spans="1:11" x14ac:dyDescent="0.2">
      <c r="A275" s="500"/>
      <c r="B275" s="501"/>
      <c r="C275" s="501"/>
      <c r="D275" s="501"/>
      <c r="E275" s="535"/>
      <c r="F275" s="179" t="s">
        <v>172</v>
      </c>
      <c r="G275" s="177">
        <v>536.44705878232332</v>
      </c>
      <c r="H275" s="171">
        <v>251.71404018337796</v>
      </c>
      <c r="I275" s="175">
        <f t="shared" si="22"/>
        <v>50495.592905261445</v>
      </c>
      <c r="J275" s="175">
        <f t="shared" si="23"/>
        <v>27088.212295497055</v>
      </c>
      <c r="K275" s="176">
        <f t="shared" si="24"/>
        <v>0.26681571554944888</v>
      </c>
    </row>
    <row r="276" spans="1:11" x14ac:dyDescent="0.2">
      <c r="A276" s="500">
        <v>14</v>
      </c>
      <c r="B276" s="501"/>
      <c r="C276" s="501"/>
      <c r="D276" s="501" t="s">
        <v>35</v>
      </c>
      <c r="E276" s="535">
        <f>Assumptions!D74</f>
        <v>3768.0449999999996</v>
      </c>
      <c r="F276" s="179" t="s">
        <v>201</v>
      </c>
      <c r="G276" s="177">
        <v>89.407843130387207</v>
      </c>
      <c r="H276" s="171">
        <v>88.063221055409201</v>
      </c>
      <c r="I276" s="175">
        <f t="shared" si="22"/>
        <v>4416.4326131009148</v>
      </c>
      <c r="J276" s="175">
        <f t="shared" si="23"/>
        <v>394.86371426805266</v>
      </c>
      <c r="K276" s="176">
        <f t="shared" si="24"/>
        <v>5.4429507885207472E-3</v>
      </c>
    </row>
    <row r="277" spans="1:11" x14ac:dyDescent="0.2">
      <c r="A277" s="500"/>
      <c r="B277" s="501"/>
      <c r="C277" s="501"/>
      <c r="D277" s="501"/>
      <c r="E277" s="535"/>
      <c r="F277" s="179" t="s">
        <v>200</v>
      </c>
      <c r="G277" s="177">
        <v>1430.5254900861953</v>
      </c>
      <c r="H277" s="171">
        <v>62.194649870382761</v>
      </c>
      <c r="I277" s="175">
        <f t="shared" si="22"/>
        <v>1970.8575590049174</v>
      </c>
      <c r="J277" s="175">
        <f t="shared" si="23"/>
        <v>2819.3619754855922</v>
      </c>
      <c r="K277" s="176">
        <f t="shared" si="24"/>
        <v>4.3438149136638404E-2</v>
      </c>
    </row>
    <row r="278" spans="1:11" x14ac:dyDescent="0.2">
      <c r="A278" s="500"/>
      <c r="B278" s="501"/>
      <c r="C278" s="501"/>
      <c r="D278" s="501"/>
      <c r="E278" s="535"/>
      <c r="F278" s="179" t="s">
        <v>171</v>
      </c>
      <c r="G278" s="177">
        <v>357.63137252154883</v>
      </c>
      <c r="H278" s="171">
        <v>110.07902631926149</v>
      </c>
      <c r="I278" s="175">
        <f t="shared" si="22"/>
        <v>7411.4441188121154</v>
      </c>
      <c r="J278" s="175">
        <f t="shared" si="23"/>
        <v>2650.564932577538</v>
      </c>
      <c r="K278" s="176">
        <f t="shared" si="24"/>
        <v>3.4018442428254657E-2</v>
      </c>
    </row>
    <row r="279" spans="1:11" x14ac:dyDescent="0.2">
      <c r="A279" s="500">
        <v>15</v>
      </c>
      <c r="B279" s="501"/>
      <c r="C279" s="501"/>
      <c r="D279" s="501" t="s">
        <v>34</v>
      </c>
      <c r="E279" s="535">
        <f>Assumptions!D75</f>
        <v>236.66199999999998</v>
      </c>
      <c r="F279" s="179" t="s">
        <v>292</v>
      </c>
      <c r="G279" s="177">
        <v>49.174313721712963</v>
      </c>
      <c r="H279" s="171">
        <v>70.450576844327372</v>
      </c>
      <c r="I279" s="175">
        <f t="shared" si="22"/>
        <v>2631.7242245074845</v>
      </c>
      <c r="J279" s="175">
        <f t="shared" si="23"/>
        <v>129.41323264496279</v>
      </c>
      <c r="K279" s="176">
        <f t="shared" si="24"/>
        <v>1.9159186775593035E-3</v>
      </c>
    </row>
    <row r="280" spans="1:11" x14ac:dyDescent="0.2">
      <c r="A280" s="500"/>
      <c r="B280" s="501"/>
      <c r="C280" s="501"/>
      <c r="D280" s="501"/>
      <c r="E280" s="535"/>
      <c r="F280" s="179" t="s">
        <v>293</v>
      </c>
      <c r="G280" s="177">
        <v>118.01835293211111</v>
      </c>
      <c r="H280" s="171">
        <v>274.75724969287677</v>
      </c>
      <c r="I280" s="175">
        <f t="shared" si="22"/>
        <v>61874.295398522336</v>
      </c>
      <c r="J280" s="175">
        <f t="shared" si="23"/>
        <v>7302.3024317685076</v>
      </c>
      <c r="K280" s="176">
        <f t="shared" si="24"/>
        <v>6.9938695405624821E-2</v>
      </c>
    </row>
    <row r="281" spans="1:11" x14ac:dyDescent="0.2">
      <c r="A281" s="162">
        <v>16</v>
      </c>
      <c r="B281" s="170"/>
      <c r="C281" s="170"/>
      <c r="D281" s="170" t="s">
        <v>35</v>
      </c>
      <c r="E281" s="171">
        <f>Assumptions!D76</f>
        <v>6640.8160000000016</v>
      </c>
      <c r="F281" s="179" t="s">
        <v>323</v>
      </c>
      <c r="G281" s="177">
        <v>0</v>
      </c>
      <c r="H281" s="171">
        <v>0</v>
      </c>
      <c r="I281" s="175">
        <v>0</v>
      </c>
      <c r="J281" s="175">
        <f t="shared" si="23"/>
        <v>0</v>
      </c>
      <c r="K281" s="176">
        <f t="shared" si="24"/>
        <v>0</v>
      </c>
    </row>
    <row r="282" spans="1:11" x14ac:dyDescent="0.2">
      <c r="A282" s="162">
        <v>17</v>
      </c>
      <c r="B282" s="75"/>
      <c r="C282" s="75"/>
      <c r="D282" s="75" t="s">
        <v>36</v>
      </c>
      <c r="E282" s="481">
        <f>Assumptions!D77</f>
        <v>837.08299999999997</v>
      </c>
      <c r="F282" s="179" t="s">
        <v>323</v>
      </c>
      <c r="G282" s="177">
        <v>0</v>
      </c>
      <c r="H282" s="171">
        <v>0</v>
      </c>
      <c r="I282" s="175">
        <v>0</v>
      </c>
      <c r="J282" s="175">
        <f t="shared" si="23"/>
        <v>0</v>
      </c>
      <c r="K282" s="176">
        <f t="shared" si="24"/>
        <v>0</v>
      </c>
    </row>
    <row r="283" spans="1:11" x14ac:dyDescent="0.2">
      <c r="A283" s="500">
        <v>18</v>
      </c>
      <c r="B283" s="501"/>
      <c r="C283" s="501"/>
      <c r="D283" s="501" t="s">
        <v>34</v>
      </c>
      <c r="E283" s="535">
        <f>Assumptions!D78</f>
        <v>1849.3409999999997</v>
      </c>
      <c r="F283" s="173" t="s">
        <v>308</v>
      </c>
      <c r="G283" s="178">
        <v>894.07843130387209</v>
      </c>
      <c r="H283" s="171">
        <v>58.121725896570076</v>
      </c>
      <c r="I283" s="175">
        <f t="shared" si="22"/>
        <v>1684.2770800103683</v>
      </c>
      <c r="J283" s="175">
        <f t="shared" si="23"/>
        <v>1505.8758095767364</v>
      </c>
      <c r="K283" s="176">
        <f t="shared" si="24"/>
        <v>2.3709493634796377E-2</v>
      </c>
    </row>
    <row r="284" spans="1:11" x14ac:dyDescent="0.2">
      <c r="A284" s="500"/>
      <c r="B284" s="501"/>
      <c r="C284" s="501"/>
      <c r="D284" s="501"/>
      <c r="E284" s="535"/>
      <c r="F284" s="173" t="s">
        <v>309</v>
      </c>
      <c r="G284" s="178">
        <v>223.51960782596802</v>
      </c>
      <c r="H284" s="171">
        <v>66.928048002110998</v>
      </c>
      <c r="I284" s="175">
        <f t="shared" si="22"/>
        <v>2336.4642609668358</v>
      </c>
      <c r="J284" s="175">
        <f t="shared" si="23"/>
        <v>522.2455753106974</v>
      </c>
      <c r="K284" s="176">
        <f t="shared" si="24"/>
        <v>7.8596209386239593E-3</v>
      </c>
    </row>
    <row r="285" spans="1:11" x14ac:dyDescent="0.2">
      <c r="A285" s="500"/>
      <c r="B285" s="501"/>
      <c r="C285" s="501"/>
      <c r="D285" s="501"/>
      <c r="E285" s="535"/>
      <c r="F285" s="173" t="s">
        <v>310</v>
      </c>
      <c r="G285" s="178">
        <v>44.703921565193603</v>
      </c>
      <c r="H285" s="171">
        <v>70.450576844327372</v>
      </c>
      <c r="I285" s="175">
        <f t="shared" si="22"/>
        <v>2631.7242245074845</v>
      </c>
      <c r="J285" s="175">
        <f t="shared" si="23"/>
        <v>117.64839331360254</v>
      </c>
      <c r="K285" s="176">
        <f t="shared" si="24"/>
        <v>1.7417442523266395E-3</v>
      </c>
    </row>
    <row r="286" spans="1:11" x14ac:dyDescent="0.2">
      <c r="A286" s="500"/>
      <c r="B286" s="501"/>
      <c r="C286" s="501"/>
      <c r="D286" s="501"/>
      <c r="E286" s="535"/>
      <c r="F286" s="173" t="s">
        <v>185</v>
      </c>
      <c r="G286" s="178">
        <v>44.703921565193603</v>
      </c>
      <c r="H286" s="171">
        <v>88.063221055409201</v>
      </c>
      <c r="I286" s="175">
        <f t="shared" si="22"/>
        <v>4416.4326131009148</v>
      </c>
      <c r="J286" s="175">
        <f t="shared" si="23"/>
        <v>197.43185713402633</v>
      </c>
      <c r="K286" s="176">
        <f t="shared" si="24"/>
        <v>2.7214753942603736E-3</v>
      </c>
    </row>
    <row r="287" spans="1:11" x14ac:dyDescent="0.2">
      <c r="A287" s="500"/>
      <c r="B287" s="501"/>
      <c r="C287" s="501"/>
      <c r="D287" s="501"/>
      <c r="E287" s="535"/>
      <c r="F287" s="173" t="s">
        <v>311</v>
      </c>
      <c r="G287" s="178">
        <v>223.51960782596802</v>
      </c>
      <c r="H287" s="171">
        <v>61.644254738786451</v>
      </c>
      <c r="I287" s="175">
        <f t="shared" si="22"/>
        <v>1930.6300475700427</v>
      </c>
      <c r="J287" s="175">
        <f t="shared" si="23"/>
        <v>431.53367108988596</v>
      </c>
      <c r="K287" s="176">
        <f t="shared" si="24"/>
        <v>6.6676147159379171E-3</v>
      </c>
    </row>
    <row r="288" spans="1:11" x14ac:dyDescent="0.2">
      <c r="A288" s="500"/>
      <c r="B288" s="501"/>
      <c r="C288" s="501"/>
      <c r="D288" s="501"/>
      <c r="E288" s="535"/>
      <c r="F288" s="173" t="s">
        <v>295</v>
      </c>
      <c r="G288" s="178">
        <v>89.407843130387207</v>
      </c>
      <c r="H288" s="171">
        <v>74.853737897097815</v>
      </c>
      <c r="I288" s="175">
        <f t="shared" ref="I288:I309" si="25">EXP(-1.996+2.32*LN(H288))</f>
        <v>3029.1690853766181</v>
      </c>
      <c r="J288" s="175">
        <f t="shared" si="23"/>
        <v>270.83147440077113</v>
      </c>
      <c r="K288" s="176">
        <f t="shared" si="24"/>
        <v>3.932531944706239E-3</v>
      </c>
    </row>
    <row r="289" spans="1:11" x14ac:dyDescent="0.2">
      <c r="A289" s="500"/>
      <c r="B289" s="501"/>
      <c r="C289" s="501"/>
      <c r="D289" s="501"/>
      <c r="E289" s="535"/>
      <c r="F289" s="173" t="s">
        <v>312</v>
      </c>
      <c r="G289" s="178">
        <v>894.07843130387209</v>
      </c>
      <c r="H289" s="171">
        <v>70.450576844327372</v>
      </c>
      <c r="I289" s="175">
        <f t="shared" si="25"/>
        <v>2631.7242245074845</v>
      </c>
      <c r="J289" s="175">
        <f t="shared" si="23"/>
        <v>2352.9678662720507</v>
      </c>
      <c r="K289" s="176">
        <f t="shared" si="24"/>
        <v>3.4834885046532794E-2</v>
      </c>
    </row>
    <row r="290" spans="1:11" x14ac:dyDescent="0.2">
      <c r="A290" s="500"/>
      <c r="B290" s="501"/>
      <c r="C290" s="501"/>
      <c r="D290" s="501"/>
      <c r="E290" s="535"/>
      <c r="F290" s="173" t="s">
        <v>313</v>
      </c>
      <c r="G290" s="178">
        <v>223.51960782596802</v>
      </c>
      <c r="H290" s="171">
        <v>167.32012000527749</v>
      </c>
      <c r="I290" s="175">
        <f t="shared" si="25"/>
        <v>19578.524661807336</v>
      </c>
      <c r="J290" s="175">
        <f t="shared" si="23"/>
        <v>4376.1841542182192</v>
      </c>
      <c r="K290" s="176">
        <f t="shared" si="24"/>
        <v>4.9122630866399744E-2</v>
      </c>
    </row>
    <row r="291" spans="1:11" x14ac:dyDescent="0.2">
      <c r="A291" s="500"/>
      <c r="B291" s="501"/>
      <c r="C291" s="501"/>
      <c r="D291" s="501"/>
      <c r="E291" s="535"/>
      <c r="F291" s="173" t="s">
        <v>314</v>
      </c>
      <c r="G291" s="178">
        <v>134.11176469558083</v>
      </c>
      <c r="H291" s="171">
        <v>99.511439792612407</v>
      </c>
      <c r="I291" s="175">
        <f t="shared" si="25"/>
        <v>5864.2651317163336</v>
      </c>
      <c r="J291" s="175">
        <f t="shared" si="23"/>
        <v>786.46694545724017</v>
      </c>
      <c r="K291" s="176">
        <f t="shared" si="24"/>
        <v>1.0425155792793215E-2</v>
      </c>
    </row>
    <row r="292" spans="1:11" x14ac:dyDescent="0.2">
      <c r="A292" s="500"/>
      <c r="B292" s="501"/>
      <c r="C292" s="501"/>
      <c r="D292" s="501"/>
      <c r="E292" s="535"/>
      <c r="F292" s="173" t="s">
        <v>315</v>
      </c>
      <c r="G292" s="178">
        <v>983.48627443425949</v>
      </c>
      <c r="H292" s="171">
        <v>278.2797785350931</v>
      </c>
      <c r="I292" s="175">
        <f t="shared" si="25"/>
        <v>63730.252613654397</v>
      </c>
      <c r="J292" s="175">
        <f t="shared" si="23"/>
        <v>62677.828711757189</v>
      </c>
      <c r="K292" s="176">
        <f t="shared" si="24"/>
        <v>0.5978624233323806</v>
      </c>
    </row>
    <row r="293" spans="1:11" x14ac:dyDescent="0.2">
      <c r="A293" s="500"/>
      <c r="B293" s="501"/>
      <c r="C293" s="501"/>
      <c r="D293" s="501"/>
      <c r="E293" s="535"/>
      <c r="F293" s="173" t="s">
        <v>316</v>
      </c>
      <c r="G293" s="178">
        <v>223.51960782596802</v>
      </c>
      <c r="H293" s="171">
        <v>272.99598527176857</v>
      </c>
      <c r="I293" s="175">
        <f t="shared" si="25"/>
        <v>60958.003981647409</v>
      </c>
      <c r="J293" s="175">
        <f t="shared" si="23"/>
        <v>13625.309143831626</v>
      </c>
      <c r="K293" s="176">
        <f t="shared" si="24"/>
        <v>0.13076689269421099</v>
      </c>
    </row>
    <row r="294" spans="1:11" x14ac:dyDescent="0.2">
      <c r="A294" s="500"/>
      <c r="B294" s="501"/>
      <c r="C294" s="501"/>
      <c r="D294" s="501"/>
      <c r="E294" s="535"/>
      <c r="F294" s="173" t="s">
        <v>317</v>
      </c>
      <c r="G294" s="178">
        <v>223.51960782596802</v>
      </c>
      <c r="H294" s="171">
        <v>272.11535306121448</v>
      </c>
      <c r="I294" s="175">
        <f t="shared" si="25"/>
        <v>60502.773079439794</v>
      </c>
      <c r="J294" s="175">
        <f t="shared" si="23"/>
        <v>13523.556111099919</v>
      </c>
      <c r="K294" s="176">
        <f t="shared" si="24"/>
        <v>0.1299245960596874</v>
      </c>
    </row>
    <row r="295" spans="1:11" x14ac:dyDescent="0.2">
      <c r="A295" s="500"/>
      <c r="B295" s="501"/>
      <c r="C295" s="501"/>
      <c r="D295" s="501"/>
      <c r="E295" s="535"/>
      <c r="F295" s="173" t="s">
        <v>172</v>
      </c>
      <c r="G295" s="178">
        <v>491.74313721712974</v>
      </c>
      <c r="H295" s="171">
        <v>160.27506232084474</v>
      </c>
      <c r="I295" s="175">
        <f t="shared" si="25"/>
        <v>17718.919227229937</v>
      </c>
      <c r="J295" s="175">
        <f t="shared" si="23"/>
        <v>8713.1569288949686</v>
      </c>
      <c r="K295" s="176">
        <f t="shared" si="24"/>
        <v>9.9160766055428687E-2</v>
      </c>
    </row>
    <row r="296" spans="1:11" x14ac:dyDescent="0.2">
      <c r="A296" s="500"/>
      <c r="B296" s="501"/>
      <c r="C296" s="501"/>
      <c r="D296" s="501"/>
      <c r="E296" s="535"/>
      <c r="F296" s="173" t="s">
        <v>318</v>
      </c>
      <c r="G296" s="178">
        <v>469.39117643453284</v>
      </c>
      <c r="H296" s="171">
        <v>149.70747579419563</v>
      </c>
      <c r="I296" s="175">
        <f t="shared" si="25"/>
        <v>15125.617228255949</v>
      </c>
      <c r="J296" s="175">
        <f t="shared" si="23"/>
        <v>7099.8312650694979</v>
      </c>
      <c r="K296" s="176">
        <f t="shared" si="24"/>
        <v>8.258317083883103E-2</v>
      </c>
    </row>
    <row r="297" spans="1:11" x14ac:dyDescent="0.2">
      <c r="A297" s="500"/>
      <c r="B297" s="501"/>
      <c r="C297" s="501"/>
      <c r="D297" s="501"/>
      <c r="E297" s="535"/>
      <c r="F297" s="173" t="s">
        <v>319</v>
      </c>
      <c r="G297" s="178">
        <v>201.1676470433712</v>
      </c>
      <c r="H297" s="171">
        <v>246.5770189551458</v>
      </c>
      <c r="I297" s="175">
        <f t="shared" si="25"/>
        <v>48136.913583834968</v>
      </c>
      <c r="J297" s="175">
        <f t="shared" si="23"/>
        <v>9683.5896415901734</v>
      </c>
      <c r="K297" s="176">
        <f t="shared" si="24"/>
        <v>9.601365190950599E-2</v>
      </c>
    </row>
    <row r="298" spans="1:11" x14ac:dyDescent="0.2">
      <c r="A298" s="500"/>
      <c r="B298" s="501"/>
      <c r="C298" s="501"/>
      <c r="D298" s="501"/>
      <c r="E298" s="535"/>
      <c r="F298" s="173" t="s">
        <v>320</v>
      </c>
      <c r="G298" s="178">
        <v>44.703921565193603</v>
      </c>
      <c r="H298" s="171">
        <v>272.99598527176857</v>
      </c>
      <c r="I298" s="175">
        <f t="shared" si="25"/>
        <v>60958.003981647409</v>
      </c>
      <c r="J298" s="175">
        <f t="shared" si="23"/>
        <v>2725.0618287663251</v>
      </c>
      <c r="K298" s="176">
        <f t="shared" si="24"/>
        <v>2.6153378538842195E-2</v>
      </c>
    </row>
    <row r="299" spans="1:11" x14ac:dyDescent="0.2">
      <c r="A299" s="162">
        <v>19</v>
      </c>
      <c r="B299" s="180"/>
      <c r="C299" s="180"/>
      <c r="D299" s="180" t="s">
        <v>37</v>
      </c>
      <c r="E299" s="481">
        <f>Assumptions!D79</f>
        <v>7884.7310000000007</v>
      </c>
      <c r="F299" s="173" t="s">
        <v>323</v>
      </c>
      <c r="G299" s="177">
        <v>0</v>
      </c>
      <c r="H299" s="171">
        <v>0</v>
      </c>
      <c r="I299" s="175">
        <v>0</v>
      </c>
      <c r="J299" s="175">
        <f t="shared" si="23"/>
        <v>0</v>
      </c>
      <c r="K299" s="176">
        <f t="shared" si="24"/>
        <v>0</v>
      </c>
    </row>
    <row r="300" spans="1:11" x14ac:dyDescent="0.2">
      <c r="A300" s="162">
        <v>20</v>
      </c>
      <c r="B300" s="180"/>
      <c r="C300" s="180"/>
      <c r="D300" s="180" t="s">
        <v>36</v>
      </c>
      <c r="E300" s="481">
        <f>Assumptions!D80</f>
        <v>2195.1750000000002</v>
      </c>
      <c r="F300" s="173" t="s">
        <v>323</v>
      </c>
      <c r="G300" s="177">
        <v>0</v>
      </c>
      <c r="H300" s="171">
        <v>0</v>
      </c>
      <c r="I300" s="175">
        <v>0</v>
      </c>
      <c r="J300" s="175">
        <f t="shared" si="23"/>
        <v>0</v>
      </c>
      <c r="K300" s="176">
        <f t="shared" si="24"/>
        <v>0</v>
      </c>
    </row>
    <row r="301" spans="1:11" x14ac:dyDescent="0.2">
      <c r="A301" s="162">
        <v>21</v>
      </c>
      <c r="B301" s="180"/>
      <c r="C301" s="180"/>
      <c r="D301" s="180" t="s">
        <v>37</v>
      </c>
      <c r="E301" s="481">
        <f>Assumptions!D81</f>
        <v>454.25200000000001</v>
      </c>
      <c r="F301" s="173" t="s">
        <v>323</v>
      </c>
      <c r="G301" s="177">
        <v>0</v>
      </c>
      <c r="H301" s="171">
        <v>0</v>
      </c>
      <c r="I301" s="175">
        <v>0</v>
      </c>
      <c r="J301" s="175">
        <f t="shared" si="23"/>
        <v>0</v>
      </c>
      <c r="K301" s="176">
        <f t="shared" si="24"/>
        <v>0</v>
      </c>
    </row>
    <row r="302" spans="1:11" x14ac:dyDescent="0.2">
      <c r="A302" s="500">
        <v>22</v>
      </c>
      <c r="B302" s="501"/>
      <c r="C302" s="501"/>
      <c r="D302" s="501" t="s">
        <v>35</v>
      </c>
      <c r="E302" s="535">
        <f>Assumptions!D82</f>
        <v>18064.454000000005</v>
      </c>
      <c r="F302" s="179" t="s">
        <v>175</v>
      </c>
      <c r="G302" s="177">
        <v>89.407843130387207</v>
      </c>
      <c r="H302" s="171">
        <v>62.902300753863713</v>
      </c>
      <c r="I302" s="175">
        <f t="shared" si="25"/>
        <v>2023.2733701795323</v>
      </c>
      <c r="J302" s="175">
        <f t="shared" si="23"/>
        <v>180.89650809090148</v>
      </c>
      <c r="K302" s="176">
        <f t="shared" si="24"/>
        <v>2.7770157084289521E-3</v>
      </c>
    </row>
    <row r="303" spans="1:11" x14ac:dyDescent="0.2">
      <c r="A303" s="500"/>
      <c r="B303" s="501"/>
      <c r="C303" s="501"/>
      <c r="D303" s="501"/>
      <c r="E303" s="535"/>
      <c r="F303" s="179" t="s">
        <v>172</v>
      </c>
      <c r="G303" s="177">
        <v>670.55882347790418</v>
      </c>
      <c r="H303" s="171">
        <v>158.51379789973657</v>
      </c>
      <c r="I303" s="175">
        <f t="shared" si="25"/>
        <v>17270.456616444637</v>
      </c>
      <c r="J303" s="175">
        <f t="shared" si="23"/>
        <v>11580.857069649301</v>
      </c>
      <c r="K303" s="176">
        <f t="shared" si="24"/>
        <v>0.13226370416105418</v>
      </c>
    </row>
    <row r="304" spans="1:11" x14ac:dyDescent="0.2">
      <c r="A304" s="500"/>
      <c r="B304" s="501"/>
      <c r="C304" s="501"/>
      <c r="D304" s="501"/>
      <c r="E304" s="535"/>
      <c r="F304" s="179" t="s">
        <v>202</v>
      </c>
      <c r="G304" s="177">
        <v>44.703921565193603</v>
      </c>
      <c r="H304" s="171">
        <v>109.78548224907682</v>
      </c>
      <c r="I304" s="175">
        <f t="shared" si="25"/>
        <v>7365.6726613217279</v>
      </c>
      <c r="J304" s="175">
        <f t="shared" si="23"/>
        <v>329.27445292661736</v>
      </c>
      <c r="K304" s="176">
        <f t="shared" si="24"/>
        <v>4.2296565805284899E-3</v>
      </c>
    </row>
    <row r="305" spans="1:11" x14ac:dyDescent="0.2">
      <c r="A305" s="500"/>
      <c r="B305" s="501"/>
      <c r="C305" s="501"/>
      <c r="D305" s="501"/>
      <c r="E305" s="535"/>
      <c r="F305" s="179" t="s">
        <v>177</v>
      </c>
      <c r="G305" s="177">
        <v>402.33529408674241</v>
      </c>
      <c r="H305" s="171">
        <v>90.998661757256187</v>
      </c>
      <c r="I305" s="175">
        <f t="shared" si="25"/>
        <v>4765.5104586329953</v>
      </c>
      <c r="J305" s="175">
        <f t="shared" si="23"/>
        <v>1917.333051847553</v>
      </c>
      <c r="K305" s="176">
        <f t="shared" si="24"/>
        <v>2.6153378538842195E-2</v>
      </c>
    </row>
    <row r="306" spans="1:11" x14ac:dyDescent="0.2">
      <c r="A306" s="500"/>
      <c r="B306" s="501"/>
      <c r="C306" s="501"/>
      <c r="D306" s="501"/>
      <c r="E306" s="535"/>
      <c r="F306" s="179" t="s">
        <v>188</v>
      </c>
      <c r="G306" s="177">
        <v>312.92745095635524</v>
      </c>
      <c r="H306" s="171">
        <v>103.71890479859307</v>
      </c>
      <c r="I306" s="175">
        <f t="shared" si="25"/>
        <v>6455.6294446656348</v>
      </c>
      <c r="J306" s="175">
        <f t="shared" si="23"/>
        <v>2020.1436664380083</v>
      </c>
      <c r="K306" s="176">
        <f t="shared" si="24"/>
        <v>2.642586206288481E-2</v>
      </c>
    </row>
    <row r="307" spans="1:11" x14ac:dyDescent="0.2">
      <c r="A307" s="500"/>
      <c r="B307" s="501"/>
      <c r="C307" s="501"/>
      <c r="D307" s="501"/>
      <c r="E307" s="535"/>
      <c r="F307" s="179" t="s">
        <v>173</v>
      </c>
      <c r="G307" s="177">
        <v>938.78235286906568</v>
      </c>
      <c r="H307" s="171">
        <v>46.128353886166728</v>
      </c>
      <c r="I307" s="175">
        <f t="shared" si="25"/>
        <v>985.2668571615053</v>
      </c>
      <c r="J307" s="175">
        <f t="shared" si="23"/>
        <v>924.95113836998758</v>
      </c>
      <c r="K307" s="176">
        <f t="shared" si="24"/>
        <v>1.5680882033595488E-2</v>
      </c>
    </row>
    <row r="308" spans="1:11" x14ac:dyDescent="0.2">
      <c r="A308" s="500"/>
      <c r="B308" s="501"/>
      <c r="C308" s="501"/>
      <c r="D308" s="501"/>
      <c r="E308" s="535"/>
      <c r="F308" s="179" t="s">
        <v>185</v>
      </c>
      <c r="G308" s="177">
        <v>268.22352939116166</v>
      </c>
      <c r="H308" s="171">
        <v>193.73908632190026</v>
      </c>
      <c r="I308" s="175">
        <f t="shared" si="25"/>
        <v>27510.103718628117</v>
      </c>
      <c r="J308" s="175">
        <f t="shared" si="23"/>
        <v>7378.8571133273545</v>
      </c>
      <c r="K308" s="176">
        <f t="shared" si="24"/>
        <v>7.9031645449321272E-2</v>
      </c>
    </row>
    <row r="309" spans="1:11" x14ac:dyDescent="0.2">
      <c r="A309" s="500"/>
      <c r="B309" s="501"/>
      <c r="C309" s="501"/>
      <c r="D309" s="501"/>
      <c r="E309" s="535"/>
      <c r="F309" s="179" t="s">
        <v>170</v>
      </c>
      <c r="G309" s="177">
        <v>89.407843130387207</v>
      </c>
      <c r="H309" s="171">
        <v>52.837932633245529</v>
      </c>
      <c r="I309" s="175">
        <f t="shared" si="25"/>
        <v>1350.151518343893</v>
      </c>
      <c r="J309" s="175">
        <f t="shared" si="23"/>
        <v>120.7141351543449</v>
      </c>
      <c r="K309" s="176">
        <f t="shared" si="24"/>
        <v>1.9594622838674694E-3</v>
      </c>
    </row>
    <row r="310" spans="1:11" x14ac:dyDescent="0.2">
      <c r="A310" s="152">
        <v>2016</v>
      </c>
      <c r="E310" s="81"/>
    </row>
    <row r="311" spans="1:11" ht="26" x14ac:dyDescent="0.2">
      <c r="A311" s="499" t="s">
        <v>8</v>
      </c>
      <c r="B311" s="499" t="s">
        <v>169</v>
      </c>
      <c r="C311" s="499" t="s">
        <v>31</v>
      </c>
      <c r="D311" s="499" t="s">
        <v>32</v>
      </c>
      <c r="E311" s="158" t="s">
        <v>65</v>
      </c>
      <c r="F311" s="158" t="s">
        <v>494</v>
      </c>
      <c r="G311" s="151" t="s">
        <v>495</v>
      </c>
      <c r="H311" s="151" t="s">
        <v>504</v>
      </c>
      <c r="I311" s="151" t="s">
        <v>205</v>
      </c>
      <c r="J311" s="151" t="s">
        <v>497</v>
      </c>
      <c r="K311" s="160" t="s">
        <v>507</v>
      </c>
    </row>
    <row r="312" spans="1:11" x14ac:dyDescent="0.2">
      <c r="A312" s="500"/>
      <c r="B312" s="500"/>
      <c r="C312" s="500"/>
      <c r="D312" s="500"/>
      <c r="E312" s="162" t="s">
        <v>499</v>
      </c>
      <c r="F312" s="179"/>
      <c r="G312" s="170" t="s">
        <v>506</v>
      </c>
      <c r="H312" s="162" t="s">
        <v>500</v>
      </c>
      <c r="I312" s="171" t="s">
        <v>501</v>
      </c>
      <c r="J312" s="171"/>
      <c r="K312" s="172"/>
    </row>
    <row r="313" spans="1:11" x14ac:dyDescent="0.2">
      <c r="A313" s="500">
        <v>1</v>
      </c>
      <c r="B313" s="500"/>
      <c r="C313" s="500"/>
      <c r="D313" s="500" t="s">
        <v>34</v>
      </c>
      <c r="E313" s="535">
        <f>Assumptions!D61</f>
        <v>183.761</v>
      </c>
      <c r="F313" s="173" t="s">
        <v>292</v>
      </c>
      <c r="G313" s="174">
        <v>46.130319605630881</v>
      </c>
      <c r="H313" s="171">
        <v>72.0408563284237</v>
      </c>
      <c r="I313" s="175">
        <f>EXP(-1.996+2.32*LN(H313))</f>
        <v>2771.6040317962425</v>
      </c>
      <c r="J313" s="175">
        <f t="shared" ref="J313:J376" si="26">(I313*G313)/1000</f>
        <v>127.85497980701579</v>
      </c>
      <c r="K313" s="176">
        <f t="shared" ref="K313:K376" si="27">0.00000001*3.14*(H313/2)^2*G313</f>
        <v>1.8793767650171881E-3</v>
      </c>
    </row>
    <row r="314" spans="1:11" x14ac:dyDescent="0.2">
      <c r="A314" s="500"/>
      <c r="B314" s="500"/>
      <c r="C314" s="500"/>
      <c r="D314" s="500"/>
      <c r="E314" s="535"/>
      <c r="F314" s="173" t="s">
        <v>293</v>
      </c>
      <c r="G314" s="177">
        <v>91.046683432166205</v>
      </c>
      <c r="H314" s="171">
        <v>54.105373425081702</v>
      </c>
      <c r="I314" s="175">
        <f t="shared" ref="I314:I377" si="28">EXP(-1.996+2.32*LN(H314))</f>
        <v>1426.4808288516406</v>
      </c>
      <c r="J314" s="175">
        <f t="shared" si="26"/>
        <v>129.87634844650938</v>
      </c>
      <c r="K314" s="176">
        <f t="shared" si="27"/>
        <v>2.0922548568308896E-3</v>
      </c>
    </row>
    <row r="315" spans="1:11" x14ac:dyDescent="0.2">
      <c r="A315" s="500"/>
      <c r="B315" s="500"/>
      <c r="C315" s="500"/>
      <c r="D315" s="500"/>
      <c r="E315" s="535"/>
      <c r="F315" s="173" t="s">
        <v>294</v>
      </c>
      <c r="G315" s="174">
        <v>774.80727600773434</v>
      </c>
      <c r="H315" s="171">
        <v>49.621502699246207</v>
      </c>
      <c r="I315" s="175">
        <f t="shared" si="28"/>
        <v>1167.0847919744613</v>
      </c>
      <c r="J315" s="175">
        <f t="shared" si="26"/>
        <v>904.2657885397856</v>
      </c>
      <c r="K315" s="176">
        <f t="shared" si="27"/>
        <v>1.4976253101078123E-2</v>
      </c>
    </row>
    <row r="316" spans="1:11" x14ac:dyDescent="0.2">
      <c r="A316" s="500"/>
      <c r="B316" s="500"/>
      <c r="C316" s="500"/>
      <c r="D316" s="500"/>
      <c r="E316" s="535"/>
      <c r="F316" s="173" t="s">
        <v>295</v>
      </c>
      <c r="G316" s="178">
        <v>182.39685580910634</v>
      </c>
      <c r="H316" s="171">
        <v>74.432254048869311</v>
      </c>
      <c r="I316" s="175">
        <f t="shared" si="28"/>
        <v>2989.7448806103534</v>
      </c>
      <c r="J316" s="175">
        <f t="shared" si="26"/>
        <v>545.32006589470052</v>
      </c>
      <c r="K316" s="176">
        <f t="shared" si="27"/>
        <v>7.932486586734391E-3</v>
      </c>
    </row>
    <row r="317" spans="1:11" x14ac:dyDescent="0.2">
      <c r="A317" s="500"/>
      <c r="B317" s="500"/>
      <c r="C317" s="500"/>
      <c r="D317" s="500"/>
      <c r="E317" s="535"/>
      <c r="F317" s="173" t="s">
        <v>296</v>
      </c>
      <c r="G317" s="178">
        <v>91.046683432166205</v>
      </c>
      <c r="H317" s="171">
        <v>76.225802339203483</v>
      </c>
      <c r="I317" s="175">
        <f t="shared" si="28"/>
        <v>3159.5473211013195</v>
      </c>
      <c r="J317" s="175">
        <f t="shared" si="26"/>
        <v>287.66630473326063</v>
      </c>
      <c r="K317" s="176">
        <f t="shared" si="27"/>
        <v>4.1527692092863016E-3</v>
      </c>
    </row>
    <row r="318" spans="1:11" x14ac:dyDescent="0.2">
      <c r="A318" s="500"/>
      <c r="B318" s="500"/>
      <c r="C318" s="500"/>
      <c r="D318" s="500"/>
      <c r="E318" s="535"/>
      <c r="F318" s="173" t="s">
        <v>297</v>
      </c>
      <c r="G318" s="178">
        <v>45.21985277130922</v>
      </c>
      <c r="H318" s="171">
        <v>63.969889021919784</v>
      </c>
      <c r="I318" s="175">
        <f t="shared" si="28"/>
        <v>2103.8346315284862</v>
      </c>
      <c r="J318" s="175">
        <f t="shared" si="26"/>
        <v>95.135092292899728</v>
      </c>
      <c r="K318" s="176">
        <f t="shared" si="27"/>
        <v>1.4526132301711059E-3</v>
      </c>
    </row>
    <row r="319" spans="1:11" x14ac:dyDescent="0.2">
      <c r="A319" s="500"/>
      <c r="B319" s="500"/>
      <c r="C319" s="500"/>
      <c r="D319" s="500"/>
      <c r="E319" s="535"/>
      <c r="F319" s="173" t="s">
        <v>298</v>
      </c>
      <c r="G319" s="178">
        <v>91.046683432166205</v>
      </c>
      <c r="H319" s="171">
        <v>55.599997000360197</v>
      </c>
      <c r="I319" s="175">
        <f t="shared" si="28"/>
        <v>1519.5733775050664</v>
      </c>
      <c r="J319" s="175">
        <f t="shared" si="26"/>
        <v>138.35211625365139</v>
      </c>
      <c r="K319" s="176">
        <f t="shared" si="27"/>
        <v>2.2094456526638826E-3</v>
      </c>
    </row>
    <row r="320" spans="1:11" x14ac:dyDescent="0.2">
      <c r="A320" s="500"/>
      <c r="B320" s="500"/>
      <c r="C320" s="500"/>
      <c r="D320" s="500"/>
      <c r="E320" s="535"/>
      <c r="F320" s="173" t="s">
        <v>299</v>
      </c>
      <c r="G320" s="178">
        <v>45.826830660856992</v>
      </c>
      <c r="H320" s="171">
        <v>51.116126274524696</v>
      </c>
      <c r="I320" s="175">
        <f t="shared" si="28"/>
        <v>1250.2665778283686</v>
      </c>
      <c r="J320" s="175">
        <f t="shared" si="26"/>
        <v>57.295754743069828</v>
      </c>
      <c r="K320" s="176">
        <f t="shared" si="27"/>
        <v>9.399512901068749E-4</v>
      </c>
    </row>
    <row r="321" spans="1:11" x14ac:dyDescent="0.2">
      <c r="A321" s="500"/>
      <c r="B321" s="500"/>
      <c r="C321" s="500"/>
      <c r="D321" s="500"/>
      <c r="E321" s="535"/>
      <c r="F321" s="173" t="s">
        <v>300</v>
      </c>
      <c r="G321" s="178">
        <v>546.58358953777122</v>
      </c>
      <c r="H321" s="171">
        <v>55.898921715415895</v>
      </c>
      <c r="I321" s="175">
        <f t="shared" si="28"/>
        <v>1538.5944899963386</v>
      </c>
      <c r="J321" s="175">
        <f t="shared" si="26"/>
        <v>840.9704991852351</v>
      </c>
      <c r="K321" s="176">
        <f t="shared" si="27"/>
        <v>1.3407046205287121E-2</v>
      </c>
    </row>
    <row r="322" spans="1:11" x14ac:dyDescent="0.2">
      <c r="A322" s="500"/>
      <c r="B322" s="500"/>
      <c r="C322" s="500"/>
      <c r="D322" s="500"/>
      <c r="E322" s="535"/>
      <c r="F322" s="173" t="s">
        <v>301</v>
      </c>
      <c r="G322" s="178">
        <v>90.74319448739233</v>
      </c>
      <c r="H322" s="171">
        <v>108.50967156521909</v>
      </c>
      <c r="I322" s="175">
        <f t="shared" si="28"/>
        <v>7168.6110233177496</v>
      </c>
      <c r="J322" s="175">
        <f t="shared" si="26"/>
        <v>650.50266429338706</v>
      </c>
      <c r="K322" s="176">
        <f t="shared" si="27"/>
        <v>8.3872698980184887E-3</v>
      </c>
    </row>
    <row r="323" spans="1:11" x14ac:dyDescent="0.2">
      <c r="A323" s="500"/>
      <c r="B323" s="500"/>
      <c r="C323" s="500"/>
      <c r="D323" s="500"/>
      <c r="E323" s="535"/>
      <c r="F323" s="173" t="s">
        <v>302</v>
      </c>
      <c r="G323" s="178">
        <v>318.96688095735556</v>
      </c>
      <c r="H323" s="171">
        <v>113.59139172116599</v>
      </c>
      <c r="I323" s="175">
        <f t="shared" si="28"/>
        <v>7971.6750975123387</v>
      </c>
      <c r="J323" s="175">
        <f t="shared" si="26"/>
        <v>2542.7003418589338</v>
      </c>
      <c r="K323" s="176">
        <f t="shared" si="27"/>
        <v>3.2307703569694229E-2</v>
      </c>
    </row>
    <row r="324" spans="1:11" x14ac:dyDescent="0.2">
      <c r="A324" s="500"/>
      <c r="B324" s="500"/>
      <c r="C324" s="500"/>
      <c r="D324" s="500"/>
      <c r="E324" s="535"/>
      <c r="F324" s="173" t="s">
        <v>303</v>
      </c>
      <c r="G324" s="178">
        <v>409.40658649997408</v>
      </c>
      <c r="H324" s="171">
        <v>112.39569286094321</v>
      </c>
      <c r="I324" s="175">
        <f t="shared" si="28"/>
        <v>7778.3493698187986</v>
      </c>
      <c r="J324" s="175">
        <f t="shared" si="26"/>
        <v>3184.5074641017386</v>
      </c>
      <c r="K324" s="176">
        <f t="shared" si="27"/>
        <v>4.0599793040551065E-2</v>
      </c>
    </row>
    <row r="325" spans="1:11" x14ac:dyDescent="0.2">
      <c r="A325" s="500"/>
      <c r="B325" s="500"/>
      <c r="C325" s="500"/>
      <c r="D325" s="500"/>
      <c r="E325" s="535"/>
      <c r="F325" s="173" t="s">
        <v>304</v>
      </c>
      <c r="G325" s="178">
        <v>45.21985277130922</v>
      </c>
      <c r="H325" s="171">
        <v>90.275263946821397</v>
      </c>
      <c r="I325" s="175">
        <f t="shared" si="28"/>
        <v>4678.0811728984399</v>
      </c>
      <c r="J325" s="175">
        <f t="shared" si="26"/>
        <v>211.542141890701</v>
      </c>
      <c r="K325" s="176">
        <f t="shared" si="27"/>
        <v>2.8929194044136084E-3</v>
      </c>
    </row>
    <row r="326" spans="1:11" x14ac:dyDescent="0.2">
      <c r="A326" s="500">
        <v>2</v>
      </c>
      <c r="B326" s="500"/>
      <c r="C326" s="500"/>
      <c r="D326" s="500" t="s">
        <v>35</v>
      </c>
      <c r="E326" s="535">
        <f>Assumptions!D62</f>
        <v>6772.8780000000015</v>
      </c>
      <c r="F326" s="179" t="s">
        <v>173</v>
      </c>
      <c r="G326" s="177">
        <v>75.56874724869796</v>
      </c>
      <c r="H326" s="171">
        <v>104.62365026949499</v>
      </c>
      <c r="I326" s="175">
        <f t="shared" si="28"/>
        <v>6587.0279849068174</v>
      </c>
      <c r="J326" s="175">
        <f t="shared" si="26"/>
        <v>497.77345291152352</v>
      </c>
      <c r="K326" s="176">
        <f t="shared" si="27"/>
        <v>6.4933919162504412E-3</v>
      </c>
    </row>
    <row r="327" spans="1:11" x14ac:dyDescent="0.2">
      <c r="A327" s="500"/>
      <c r="B327" s="501"/>
      <c r="C327" s="501"/>
      <c r="D327" s="501"/>
      <c r="E327" s="535"/>
      <c r="F327" s="179" t="s">
        <v>170</v>
      </c>
      <c r="G327" s="177">
        <v>152.04796133171757</v>
      </c>
      <c r="H327" s="171">
        <v>71.741931613367996</v>
      </c>
      <c r="I327" s="175">
        <f t="shared" si="28"/>
        <v>2744.9960662682038</v>
      </c>
      <c r="J327" s="175">
        <f t="shared" si="26"/>
        <v>417.37105573966471</v>
      </c>
      <c r="K327" s="176">
        <f t="shared" si="27"/>
        <v>6.1432245410175798E-3</v>
      </c>
    </row>
    <row r="328" spans="1:11" x14ac:dyDescent="0.2">
      <c r="A328" s="500"/>
      <c r="B328" s="501"/>
      <c r="C328" s="501"/>
      <c r="D328" s="501"/>
      <c r="E328" s="535"/>
      <c r="F328" s="179" t="s">
        <v>171</v>
      </c>
      <c r="G328" s="177">
        <v>682.85012574124664</v>
      </c>
      <c r="H328" s="171">
        <v>98.645155968380976</v>
      </c>
      <c r="I328" s="175">
        <f t="shared" si="28"/>
        <v>5746.5076099531261</v>
      </c>
      <c r="J328" s="175">
        <f t="shared" si="26"/>
        <v>3924.0034440295231</v>
      </c>
      <c r="K328" s="176">
        <f t="shared" si="27"/>
        <v>5.2161080379616878E-2</v>
      </c>
    </row>
    <row r="329" spans="1:11" x14ac:dyDescent="0.2">
      <c r="A329" s="500"/>
      <c r="B329" s="501"/>
      <c r="C329" s="501"/>
      <c r="D329" s="501"/>
      <c r="E329" s="535"/>
      <c r="F329" s="179" t="s">
        <v>172</v>
      </c>
      <c r="G329" s="177">
        <v>386.94840458670643</v>
      </c>
      <c r="H329" s="171">
        <v>113.59139172116599</v>
      </c>
      <c r="I329" s="175">
        <f t="shared" si="28"/>
        <v>7971.6750975123387</v>
      </c>
      <c r="J329" s="175">
        <f t="shared" si="26"/>
        <v>3084.6269608659768</v>
      </c>
      <c r="K329" s="176">
        <f t="shared" si="27"/>
        <v>3.9193455805290343E-2</v>
      </c>
    </row>
    <row r="330" spans="1:11" x14ac:dyDescent="0.2">
      <c r="A330" s="500">
        <v>3</v>
      </c>
      <c r="B330" s="501"/>
      <c r="C330" s="501"/>
      <c r="D330" s="501" t="s">
        <v>35</v>
      </c>
      <c r="E330" s="535">
        <f>Assumptions!D63</f>
        <v>4319.8270000000002</v>
      </c>
      <c r="F330" s="179" t="s">
        <v>174</v>
      </c>
      <c r="G330" s="177">
        <v>91.046683432166205</v>
      </c>
      <c r="H330" s="171">
        <v>219.70966556593945</v>
      </c>
      <c r="I330" s="175">
        <f t="shared" si="28"/>
        <v>36833.100018392477</v>
      </c>
      <c r="J330" s="175">
        <f t="shared" si="26"/>
        <v>3353.5315971998948</v>
      </c>
      <c r="K330" s="176">
        <f t="shared" si="27"/>
        <v>3.450103415742703E-2</v>
      </c>
    </row>
    <row r="331" spans="1:11" x14ac:dyDescent="0.2">
      <c r="A331" s="500"/>
      <c r="B331" s="501"/>
      <c r="C331" s="501"/>
      <c r="D331" s="501"/>
      <c r="E331" s="535"/>
      <c r="F331" s="179" t="s">
        <v>175</v>
      </c>
      <c r="G331" s="177">
        <v>45.523341716083102</v>
      </c>
      <c r="H331" s="171">
        <v>53.806448710025997</v>
      </c>
      <c r="I331" s="175">
        <f t="shared" si="28"/>
        <v>1408.2632869382887</v>
      </c>
      <c r="J331" s="175">
        <f t="shared" si="26"/>
        <v>64.108850837506111</v>
      </c>
      <c r="K331" s="176">
        <f t="shared" si="27"/>
        <v>1.0345999414138889E-3</v>
      </c>
    </row>
    <row r="332" spans="1:11" x14ac:dyDescent="0.2">
      <c r="A332" s="500"/>
      <c r="B332" s="501"/>
      <c r="C332" s="501"/>
      <c r="D332" s="501"/>
      <c r="E332" s="535"/>
      <c r="F332" s="179" t="s">
        <v>176</v>
      </c>
      <c r="G332" s="177">
        <v>45.523341716083102</v>
      </c>
      <c r="H332" s="171">
        <v>269.03224355012998</v>
      </c>
      <c r="I332" s="175">
        <f t="shared" si="28"/>
        <v>58924.27769257161</v>
      </c>
      <c r="J332" s="175">
        <f t="shared" si="26"/>
        <v>2682.4300287723104</v>
      </c>
      <c r="K332" s="176">
        <f t="shared" si="27"/>
        <v>2.5864998535347218E-2</v>
      </c>
    </row>
    <row r="333" spans="1:11" x14ac:dyDescent="0.2">
      <c r="A333" s="500"/>
      <c r="B333" s="501"/>
      <c r="C333" s="501"/>
      <c r="D333" s="501"/>
      <c r="E333" s="535"/>
      <c r="F333" s="179" t="s">
        <v>177</v>
      </c>
      <c r="G333" s="177">
        <v>45.523341716083102</v>
      </c>
      <c r="H333" s="171">
        <v>170.38708758174897</v>
      </c>
      <c r="I333" s="175">
        <f t="shared" si="28"/>
        <v>20421.202449528661</v>
      </c>
      <c r="J333" s="175">
        <f t="shared" si="26"/>
        <v>929.64137736320652</v>
      </c>
      <c r="K333" s="176">
        <f t="shared" si="27"/>
        <v>1.0374738301400383E-2</v>
      </c>
    </row>
    <row r="334" spans="1:11" x14ac:dyDescent="0.2">
      <c r="A334" s="500">
        <v>4</v>
      </c>
      <c r="B334" s="501"/>
      <c r="C334" s="501"/>
      <c r="D334" s="501" t="s">
        <v>34</v>
      </c>
      <c r="E334" s="535">
        <f>Assumptions!D64</f>
        <v>1612.0500000000002</v>
      </c>
      <c r="F334" s="173" t="s">
        <v>305</v>
      </c>
      <c r="G334" s="177">
        <v>728.37346745732964</v>
      </c>
      <c r="H334" s="171">
        <v>62.774190161697</v>
      </c>
      <c r="I334" s="175">
        <f t="shared" si="28"/>
        <v>2013.7261482976032</v>
      </c>
      <c r="J334" s="175">
        <f t="shared" si="26"/>
        <v>1466.7446971450181</v>
      </c>
      <c r="K334" s="176">
        <f t="shared" si="27"/>
        <v>2.2531287613013581E-2</v>
      </c>
    </row>
    <row r="335" spans="1:11" x14ac:dyDescent="0.2">
      <c r="A335" s="500"/>
      <c r="B335" s="501"/>
      <c r="C335" s="501"/>
      <c r="D335" s="501"/>
      <c r="E335" s="535"/>
      <c r="F335" s="173" t="s">
        <v>306</v>
      </c>
      <c r="G335" s="177">
        <v>227.61670858041549</v>
      </c>
      <c r="H335" s="171">
        <v>49.322577984190488</v>
      </c>
      <c r="I335" s="175">
        <f t="shared" si="28"/>
        <v>1150.8385369182456</v>
      </c>
      <c r="J335" s="175">
        <f t="shared" si="26"/>
        <v>261.95007988083205</v>
      </c>
      <c r="K335" s="176">
        <f t="shared" si="27"/>
        <v>4.3467566983014056E-3</v>
      </c>
    </row>
    <row r="336" spans="1:11" x14ac:dyDescent="0.2">
      <c r="A336" s="500"/>
      <c r="B336" s="501"/>
      <c r="C336" s="501"/>
      <c r="D336" s="501"/>
      <c r="E336" s="535"/>
      <c r="F336" s="173" t="s">
        <v>307</v>
      </c>
      <c r="G336" s="177">
        <v>2321.6904275202382</v>
      </c>
      <c r="H336" s="171">
        <v>50.219352129357596</v>
      </c>
      <c r="I336" s="175">
        <f t="shared" si="28"/>
        <v>1199.9666586734058</v>
      </c>
      <c r="J336" s="175">
        <f t="shared" si="26"/>
        <v>2785.9511047854912</v>
      </c>
      <c r="K336" s="176">
        <f t="shared" si="27"/>
        <v>4.5963826730547698E-2</v>
      </c>
    </row>
    <row r="337" spans="1:11" ht="26" x14ac:dyDescent="0.2">
      <c r="A337" s="162">
        <v>5</v>
      </c>
      <c r="B337" s="170"/>
      <c r="C337" s="6"/>
      <c r="D337" s="6" t="s">
        <v>34</v>
      </c>
      <c r="E337" s="171">
        <f>Assumptions!D65</f>
        <v>353.58800000000002</v>
      </c>
      <c r="F337" s="173" t="s">
        <v>323</v>
      </c>
      <c r="G337" s="177">
        <v>0</v>
      </c>
      <c r="H337" s="171">
        <v>0</v>
      </c>
      <c r="I337" s="175">
        <v>0</v>
      </c>
      <c r="J337" s="175">
        <f t="shared" si="26"/>
        <v>0</v>
      </c>
      <c r="K337" s="176">
        <f t="shared" si="27"/>
        <v>0</v>
      </c>
    </row>
    <row r="338" spans="1:11" x14ac:dyDescent="0.2">
      <c r="A338" s="500">
        <v>6</v>
      </c>
      <c r="B338" s="501"/>
      <c r="C338" s="501"/>
      <c r="D338" s="501" t="s">
        <v>35</v>
      </c>
      <c r="E338" s="535">
        <f>Assumptions!D66</f>
        <v>4915.7929999999997</v>
      </c>
      <c r="F338" s="179" t="s">
        <v>178</v>
      </c>
      <c r="G338" s="177">
        <v>819.42015088949574</v>
      </c>
      <c r="H338" s="171">
        <v>79.127130455920565</v>
      </c>
      <c r="I338" s="175">
        <f t="shared" si="28"/>
        <v>3445.5866812136464</v>
      </c>
      <c r="J338" s="175">
        <f t="shared" si="26"/>
        <v>2823.3831582229232</v>
      </c>
      <c r="K338" s="176">
        <f t="shared" si="27"/>
        <v>4.0274219172685956E-2</v>
      </c>
    </row>
    <row r="339" spans="1:11" x14ac:dyDescent="0.2">
      <c r="A339" s="500"/>
      <c r="B339" s="501"/>
      <c r="C339" s="501"/>
      <c r="D339" s="501"/>
      <c r="E339" s="535"/>
      <c r="F339" s="179" t="s">
        <v>179</v>
      </c>
      <c r="G339" s="177">
        <v>546.28010059299731</v>
      </c>
      <c r="H339" s="171">
        <v>67.258060887532494</v>
      </c>
      <c r="I339" s="175">
        <f t="shared" si="28"/>
        <v>2363.2794995573299</v>
      </c>
      <c r="J339" s="175">
        <f t="shared" si="26"/>
        <v>1291.0125627475466</v>
      </c>
      <c r="K339" s="176">
        <f t="shared" si="27"/>
        <v>1.9398748901510415E-2</v>
      </c>
    </row>
    <row r="340" spans="1:11" x14ac:dyDescent="0.2">
      <c r="A340" s="500"/>
      <c r="B340" s="501"/>
      <c r="C340" s="501"/>
      <c r="D340" s="501"/>
      <c r="E340" s="535"/>
      <c r="F340" s="179" t="s">
        <v>175</v>
      </c>
      <c r="G340" s="177">
        <v>1365.7002514824933</v>
      </c>
      <c r="H340" s="171">
        <v>35.870965806683998</v>
      </c>
      <c r="I340" s="175">
        <f t="shared" si="28"/>
        <v>549.73341569736613</v>
      </c>
      <c r="J340" s="175">
        <f t="shared" si="26"/>
        <v>750.77106406622295</v>
      </c>
      <c r="K340" s="176">
        <f t="shared" si="27"/>
        <v>1.3794665885518519E-2</v>
      </c>
    </row>
    <row r="341" spans="1:11" x14ac:dyDescent="0.2">
      <c r="A341" s="500"/>
      <c r="B341" s="501"/>
      <c r="C341" s="501"/>
      <c r="D341" s="501"/>
      <c r="E341" s="535"/>
      <c r="F341" s="179" t="s">
        <v>180</v>
      </c>
      <c r="G341" s="177">
        <v>91.046683432166205</v>
      </c>
      <c r="H341" s="171">
        <v>89.677414516709987</v>
      </c>
      <c r="I341" s="175">
        <f t="shared" si="28"/>
        <v>4606.5199525871285</v>
      </c>
      <c r="J341" s="175">
        <f t="shared" si="26"/>
        <v>419.40836384715755</v>
      </c>
      <c r="K341" s="176">
        <f t="shared" si="27"/>
        <v>5.747777452299381E-3</v>
      </c>
    </row>
    <row r="342" spans="1:11" x14ac:dyDescent="0.2">
      <c r="A342" s="500"/>
      <c r="B342" s="501"/>
      <c r="C342" s="501"/>
      <c r="D342" s="501"/>
      <c r="E342" s="535"/>
      <c r="F342" s="179" t="s">
        <v>181</v>
      </c>
      <c r="G342" s="177">
        <v>91.046683432166205</v>
      </c>
      <c r="H342" s="171">
        <v>143.48386322673599</v>
      </c>
      <c r="I342" s="175">
        <f t="shared" si="28"/>
        <v>13706.649784549409</v>
      </c>
      <c r="J342" s="175">
        <f t="shared" si="26"/>
        <v>1247.945003849439</v>
      </c>
      <c r="K342" s="176">
        <f t="shared" si="27"/>
        <v>1.4714310277886418E-2</v>
      </c>
    </row>
    <row r="343" spans="1:11" ht="26" x14ac:dyDescent="0.2">
      <c r="A343" s="162">
        <v>7</v>
      </c>
      <c r="B343" s="170"/>
      <c r="C343" s="6"/>
      <c r="D343" s="6" t="s">
        <v>34</v>
      </c>
      <c r="E343" s="171">
        <f>Assumptions!D67</f>
        <v>2549.9479999999994</v>
      </c>
      <c r="F343" s="173" t="s">
        <v>323</v>
      </c>
      <c r="G343" s="177">
        <v>0</v>
      </c>
      <c r="H343" s="171">
        <v>0</v>
      </c>
      <c r="I343" s="175">
        <v>0</v>
      </c>
      <c r="J343" s="175">
        <f t="shared" si="26"/>
        <v>0</v>
      </c>
      <c r="K343" s="176">
        <f t="shared" si="27"/>
        <v>0</v>
      </c>
    </row>
    <row r="344" spans="1:11" x14ac:dyDescent="0.2">
      <c r="A344" s="162">
        <v>8</v>
      </c>
      <c r="B344" s="170"/>
      <c r="C344" s="6"/>
      <c r="D344" s="6" t="s">
        <v>36</v>
      </c>
      <c r="E344" s="171">
        <f>Assumptions!D68</f>
        <v>741.26900000000001</v>
      </c>
      <c r="F344" s="173" t="s">
        <v>323</v>
      </c>
      <c r="G344" s="177">
        <v>0</v>
      </c>
      <c r="H344" s="171">
        <v>0</v>
      </c>
      <c r="I344" s="175">
        <v>0</v>
      </c>
      <c r="J344" s="175">
        <f t="shared" si="26"/>
        <v>0</v>
      </c>
      <c r="K344" s="176">
        <f t="shared" si="27"/>
        <v>0</v>
      </c>
    </row>
    <row r="345" spans="1:11" x14ac:dyDescent="0.2">
      <c r="A345" s="500">
        <v>9</v>
      </c>
      <c r="B345" s="501"/>
      <c r="C345" s="501"/>
      <c r="D345" s="501" t="s">
        <v>35</v>
      </c>
      <c r="E345" s="535">
        <f>Assumptions!D69</f>
        <v>8643.7000000000025</v>
      </c>
      <c r="F345" s="179" t="s">
        <v>173</v>
      </c>
      <c r="G345" s="177">
        <v>318.66339201258171</v>
      </c>
      <c r="H345" s="171">
        <v>61.493084240029702</v>
      </c>
      <c r="I345" s="175">
        <f t="shared" si="28"/>
        <v>1919.6637964817394</v>
      </c>
      <c r="J345" s="175">
        <f t="shared" si="26"/>
        <v>611.72657691062136</v>
      </c>
      <c r="K345" s="176">
        <f t="shared" si="27"/>
        <v>9.459199464355552E-3</v>
      </c>
    </row>
    <row r="346" spans="1:11" x14ac:dyDescent="0.2">
      <c r="A346" s="500"/>
      <c r="B346" s="501"/>
      <c r="C346" s="501"/>
      <c r="D346" s="501"/>
      <c r="E346" s="535"/>
      <c r="F346" s="179" t="s">
        <v>182</v>
      </c>
      <c r="G346" s="177">
        <v>318.66339201258171</v>
      </c>
      <c r="H346" s="171">
        <v>224.19353629177493</v>
      </c>
      <c r="I346" s="175">
        <f t="shared" si="28"/>
        <v>38600.575238208112</v>
      </c>
      <c r="J346" s="175">
        <f t="shared" si="26"/>
        <v>12300.590239044266</v>
      </c>
      <c r="K346" s="176">
        <f t="shared" si="27"/>
        <v>0.12573263176904892</v>
      </c>
    </row>
    <row r="347" spans="1:11" x14ac:dyDescent="0.2">
      <c r="A347" s="500"/>
      <c r="B347" s="501"/>
      <c r="C347" s="501"/>
      <c r="D347" s="501"/>
      <c r="E347" s="535"/>
      <c r="F347" s="179" t="s">
        <v>172</v>
      </c>
      <c r="G347" s="177">
        <v>318.66339201258171</v>
      </c>
      <c r="H347" s="171">
        <v>174.23040534675084</v>
      </c>
      <c r="I347" s="175">
        <f t="shared" si="28"/>
        <v>21505.808346710142</v>
      </c>
      <c r="J347" s="175">
        <f t="shared" si="26"/>
        <v>6853.1138357351456</v>
      </c>
      <c r="K347" s="176">
        <f t="shared" si="27"/>
        <v>7.5936351255520979E-2</v>
      </c>
    </row>
    <row r="348" spans="1:11" x14ac:dyDescent="0.2">
      <c r="A348" s="500"/>
      <c r="B348" s="501"/>
      <c r="C348" s="501"/>
      <c r="D348" s="501"/>
      <c r="E348" s="535"/>
      <c r="F348" s="179" t="s">
        <v>183</v>
      </c>
      <c r="G348" s="177">
        <v>182.09336686433241</v>
      </c>
      <c r="H348" s="171">
        <v>58.290319435861491</v>
      </c>
      <c r="I348" s="175">
        <f t="shared" si="28"/>
        <v>1695.6333275576765</v>
      </c>
      <c r="J348" s="175">
        <f t="shared" si="26"/>
        <v>308.76358158234876</v>
      </c>
      <c r="K348" s="176">
        <f t="shared" si="27"/>
        <v>4.8568719471929773E-3</v>
      </c>
    </row>
    <row r="349" spans="1:11" x14ac:dyDescent="0.2">
      <c r="A349" s="500"/>
      <c r="B349" s="501"/>
      <c r="C349" s="501"/>
      <c r="D349" s="501"/>
      <c r="E349" s="535"/>
      <c r="F349" s="179" t="s">
        <v>184</v>
      </c>
      <c r="G349" s="177">
        <v>91.046683432166205</v>
      </c>
      <c r="H349" s="171">
        <v>188.32257048509098</v>
      </c>
      <c r="I349" s="175">
        <f t="shared" si="28"/>
        <v>25758.568285900918</v>
      </c>
      <c r="J349" s="175">
        <f t="shared" si="26"/>
        <v>2345.2322123922572</v>
      </c>
      <c r="K349" s="176">
        <f t="shared" si="27"/>
        <v>2.534769856464027E-2</v>
      </c>
    </row>
    <row r="350" spans="1:11" x14ac:dyDescent="0.2">
      <c r="A350" s="500"/>
      <c r="B350" s="501"/>
      <c r="C350" s="501"/>
      <c r="D350" s="501"/>
      <c r="E350" s="535"/>
      <c r="F350" s="179" t="s">
        <v>185</v>
      </c>
      <c r="G350" s="177">
        <v>45.523341716083102</v>
      </c>
      <c r="H350" s="171">
        <v>53.806448710025997</v>
      </c>
      <c r="I350" s="175">
        <f t="shared" si="28"/>
        <v>1408.2632869382887</v>
      </c>
      <c r="J350" s="175">
        <f t="shared" si="26"/>
        <v>64.108850837506111</v>
      </c>
      <c r="K350" s="176">
        <f t="shared" si="27"/>
        <v>1.0345999414138889E-3</v>
      </c>
    </row>
    <row r="351" spans="1:11" x14ac:dyDescent="0.2">
      <c r="A351" s="500"/>
      <c r="B351" s="501"/>
      <c r="C351" s="501"/>
      <c r="D351" s="501"/>
      <c r="E351" s="535"/>
      <c r="F351" s="179" t="s">
        <v>186</v>
      </c>
      <c r="G351" s="177">
        <v>136.57002514824933</v>
      </c>
      <c r="H351" s="171">
        <v>128.53762747395098</v>
      </c>
      <c r="I351" s="175">
        <f t="shared" si="28"/>
        <v>10619.362905079644</v>
      </c>
      <c r="J351" s="175">
        <f t="shared" si="26"/>
        <v>1450.2866590051133</v>
      </c>
      <c r="K351" s="176">
        <f t="shared" si="27"/>
        <v>1.771273418216926E-2</v>
      </c>
    </row>
    <row r="352" spans="1:11" x14ac:dyDescent="0.2">
      <c r="A352" s="500"/>
      <c r="B352" s="501"/>
      <c r="C352" s="501"/>
      <c r="D352" s="501"/>
      <c r="E352" s="535"/>
      <c r="F352" s="179" t="s">
        <v>171</v>
      </c>
      <c r="G352" s="177">
        <v>182.09336686433241</v>
      </c>
      <c r="H352" s="171">
        <v>318.35482153432042</v>
      </c>
      <c r="I352" s="175">
        <f t="shared" si="28"/>
        <v>87076.855134741127</v>
      </c>
      <c r="J352" s="175">
        <f t="shared" si="26"/>
        <v>15856.117727442743</v>
      </c>
      <c r="K352" s="176">
        <f t="shared" si="27"/>
        <v>0.14487273068520587</v>
      </c>
    </row>
    <row r="353" spans="1:11" x14ac:dyDescent="0.2">
      <c r="A353" s="500"/>
      <c r="B353" s="501"/>
      <c r="C353" s="501"/>
      <c r="D353" s="501"/>
      <c r="E353" s="535"/>
      <c r="F353" s="179" t="s">
        <v>187</v>
      </c>
      <c r="G353" s="177">
        <v>45.523341716083102</v>
      </c>
      <c r="H353" s="171">
        <v>269.03224355012998</v>
      </c>
      <c r="I353" s="175">
        <f t="shared" si="28"/>
        <v>58924.27769257161</v>
      </c>
      <c r="J353" s="175">
        <f t="shared" si="26"/>
        <v>2682.4300287723104</v>
      </c>
      <c r="K353" s="176">
        <f t="shared" si="27"/>
        <v>2.5864998535347218E-2</v>
      </c>
    </row>
    <row r="354" spans="1:11" x14ac:dyDescent="0.2">
      <c r="A354" s="500"/>
      <c r="B354" s="501"/>
      <c r="C354" s="501"/>
      <c r="D354" s="501"/>
      <c r="E354" s="535"/>
      <c r="F354" s="179" t="s">
        <v>188</v>
      </c>
      <c r="G354" s="177">
        <v>182.09336686433241</v>
      </c>
      <c r="H354" s="171">
        <v>219.70966556593945</v>
      </c>
      <c r="I354" s="175">
        <f t="shared" si="28"/>
        <v>36833.100018392477</v>
      </c>
      <c r="J354" s="175">
        <f t="shared" si="26"/>
        <v>6707.0631943997896</v>
      </c>
      <c r="K354" s="176">
        <f t="shared" si="27"/>
        <v>6.9002068314854059E-2</v>
      </c>
    </row>
    <row r="355" spans="1:11" x14ac:dyDescent="0.2">
      <c r="A355" s="500">
        <v>10</v>
      </c>
      <c r="B355" s="501"/>
      <c r="C355" s="501"/>
      <c r="D355" s="501" t="s">
        <v>35</v>
      </c>
      <c r="E355" s="535">
        <f>Assumptions!D70</f>
        <v>2860.4270000000001</v>
      </c>
      <c r="F355" s="179" t="s">
        <v>189</v>
      </c>
      <c r="G355" s="177">
        <v>91.046683432166205</v>
      </c>
      <c r="H355" s="171">
        <v>71.741931613367996</v>
      </c>
      <c r="I355" s="175">
        <f t="shared" si="28"/>
        <v>2744.9960662682038</v>
      </c>
      <c r="J355" s="175">
        <f t="shared" si="26"/>
        <v>249.92278786806267</v>
      </c>
      <c r="K355" s="176">
        <f t="shared" si="27"/>
        <v>3.6785775694716046E-3</v>
      </c>
    </row>
    <row r="356" spans="1:11" x14ac:dyDescent="0.2">
      <c r="A356" s="500"/>
      <c r="B356" s="501"/>
      <c r="C356" s="501"/>
      <c r="D356" s="501"/>
      <c r="E356" s="535"/>
      <c r="F356" s="179" t="s">
        <v>190</v>
      </c>
      <c r="G356" s="177">
        <v>728.37346745732964</v>
      </c>
      <c r="H356" s="171">
        <v>62.774190161697</v>
      </c>
      <c r="I356" s="175">
        <f t="shared" si="28"/>
        <v>2013.7261482976032</v>
      </c>
      <c r="J356" s="175">
        <f t="shared" si="26"/>
        <v>1466.7446971450181</v>
      </c>
      <c r="K356" s="176">
        <f t="shared" si="27"/>
        <v>2.2531287613013581E-2</v>
      </c>
    </row>
    <row r="357" spans="1:11" x14ac:dyDescent="0.2">
      <c r="A357" s="500"/>
      <c r="B357" s="501"/>
      <c r="C357" s="501"/>
      <c r="D357" s="501"/>
      <c r="E357" s="535"/>
      <c r="F357" s="179" t="s">
        <v>191</v>
      </c>
      <c r="G357" s="177">
        <v>91.046683432166205</v>
      </c>
      <c r="H357" s="171">
        <v>53.806448710025997</v>
      </c>
      <c r="I357" s="175">
        <f t="shared" si="28"/>
        <v>1408.2632869382887</v>
      </c>
      <c r="J357" s="175">
        <f t="shared" si="26"/>
        <v>128.21770167501222</v>
      </c>
      <c r="K357" s="176">
        <f t="shared" si="27"/>
        <v>2.0691998828277778E-3</v>
      </c>
    </row>
    <row r="358" spans="1:11" x14ac:dyDescent="0.2">
      <c r="A358" s="500"/>
      <c r="B358" s="501"/>
      <c r="C358" s="501"/>
      <c r="D358" s="501"/>
      <c r="E358" s="535"/>
      <c r="F358" s="179" t="s">
        <v>171</v>
      </c>
      <c r="G358" s="177">
        <v>364.18673372866482</v>
      </c>
      <c r="H358" s="171">
        <v>94.161285242545489</v>
      </c>
      <c r="I358" s="175">
        <f t="shared" si="28"/>
        <v>5158.603285917643</v>
      </c>
      <c r="J358" s="175">
        <f t="shared" si="26"/>
        <v>1878.6948813003041</v>
      </c>
      <c r="K358" s="176">
        <f t="shared" si="27"/>
        <v>2.534769856464027E-2</v>
      </c>
    </row>
    <row r="359" spans="1:11" x14ac:dyDescent="0.2">
      <c r="A359" s="500"/>
      <c r="B359" s="501"/>
      <c r="C359" s="501"/>
      <c r="D359" s="501"/>
      <c r="E359" s="535"/>
      <c r="F359" s="179" t="s">
        <v>188</v>
      </c>
      <c r="G359" s="177">
        <v>91.046683432166205</v>
      </c>
      <c r="H359" s="171">
        <v>161.41934613007797</v>
      </c>
      <c r="I359" s="175">
        <f t="shared" si="28"/>
        <v>18013.793023343194</v>
      </c>
      <c r="J359" s="175">
        <f t="shared" si="26"/>
        <v>1640.096110808892</v>
      </c>
      <c r="K359" s="176">
        <f t="shared" si="27"/>
        <v>1.8622798945449996E-2</v>
      </c>
    </row>
    <row r="360" spans="1:11" x14ac:dyDescent="0.2">
      <c r="A360" s="500">
        <v>11</v>
      </c>
      <c r="B360" s="501"/>
      <c r="C360" s="501"/>
      <c r="D360" s="501" t="s">
        <v>35</v>
      </c>
      <c r="E360" s="535">
        <f>Assumptions!D71</f>
        <v>9034.3230000000021</v>
      </c>
      <c r="F360" s="170" t="s">
        <v>192</v>
      </c>
      <c r="G360" s="177">
        <v>682.85012574124664</v>
      </c>
      <c r="H360" s="171">
        <v>75.478490551564278</v>
      </c>
      <c r="I360" s="175">
        <f t="shared" si="28"/>
        <v>3088.147624166686</v>
      </c>
      <c r="J360" s="175">
        <f t="shared" si="26"/>
        <v>2108.7419934697537</v>
      </c>
      <c r="K360" s="176">
        <f t="shared" si="27"/>
        <v>3.053806134943024E-2</v>
      </c>
    </row>
    <row r="361" spans="1:11" x14ac:dyDescent="0.2">
      <c r="A361" s="500"/>
      <c r="B361" s="501"/>
      <c r="C361" s="501"/>
      <c r="D361" s="501"/>
      <c r="E361" s="535"/>
      <c r="F361" s="170" t="s">
        <v>193</v>
      </c>
      <c r="G361" s="177">
        <v>341.42506287062332</v>
      </c>
      <c r="H361" s="171">
        <v>41.849460107797995</v>
      </c>
      <c r="I361" s="175">
        <f t="shared" si="28"/>
        <v>786.08351438991565</v>
      </c>
      <c r="J361" s="175">
        <f t="shared" si="26"/>
        <v>268.38861332213753</v>
      </c>
      <c r="K361" s="176">
        <f t="shared" si="27"/>
        <v>4.6940182527111622E-3</v>
      </c>
    </row>
    <row r="362" spans="1:11" x14ac:dyDescent="0.2">
      <c r="A362" s="500"/>
      <c r="B362" s="501"/>
      <c r="C362" s="501"/>
      <c r="D362" s="501"/>
      <c r="E362" s="535"/>
      <c r="F362" s="170" t="s">
        <v>190</v>
      </c>
      <c r="G362" s="177">
        <v>341.42506287062332</v>
      </c>
      <c r="H362" s="171">
        <v>116.58063887172298</v>
      </c>
      <c r="I362" s="175">
        <f t="shared" si="28"/>
        <v>8466.8435301037625</v>
      </c>
      <c r="J362" s="175">
        <f t="shared" si="26"/>
        <v>2890.792584581407</v>
      </c>
      <c r="K362" s="176">
        <f t="shared" si="27"/>
        <v>3.642653960394733E-2</v>
      </c>
    </row>
    <row r="363" spans="1:11" x14ac:dyDescent="0.2">
      <c r="A363" s="500"/>
      <c r="B363" s="501"/>
      <c r="C363" s="501"/>
      <c r="D363" s="501"/>
      <c r="E363" s="535"/>
      <c r="F363" s="170" t="s">
        <v>186</v>
      </c>
      <c r="G363" s="177">
        <v>341.42506287062332</v>
      </c>
      <c r="H363" s="171">
        <v>59.784943011139987</v>
      </c>
      <c r="I363" s="175">
        <f t="shared" si="28"/>
        <v>1798.213424649734</v>
      </c>
      <c r="J363" s="175">
        <f t="shared" si="26"/>
        <v>613.95513156583434</v>
      </c>
      <c r="K363" s="176">
        <f t="shared" si="27"/>
        <v>9.579629087165635E-3</v>
      </c>
    </row>
    <row r="364" spans="1:11" x14ac:dyDescent="0.2">
      <c r="A364" s="500"/>
      <c r="B364" s="501"/>
      <c r="C364" s="501"/>
      <c r="D364" s="501"/>
      <c r="E364" s="535"/>
      <c r="F364" s="170" t="s">
        <v>194</v>
      </c>
      <c r="G364" s="177">
        <v>1024.2751886118697</v>
      </c>
      <c r="H364" s="171">
        <v>142.48744750988368</v>
      </c>
      <c r="I364" s="175">
        <f t="shared" si="28"/>
        <v>13486.83181084884</v>
      </c>
      <c r="J364" s="175">
        <f t="shared" si="26"/>
        <v>13814.227196833759</v>
      </c>
      <c r="K364" s="176">
        <f t="shared" si="27"/>
        <v>0.16324486266954177</v>
      </c>
    </row>
    <row r="365" spans="1:11" x14ac:dyDescent="0.2">
      <c r="A365" s="500"/>
      <c r="B365" s="501"/>
      <c r="C365" s="501"/>
      <c r="D365" s="501"/>
      <c r="E365" s="535"/>
      <c r="F365" s="170" t="s">
        <v>195</v>
      </c>
      <c r="G365" s="177">
        <v>113.80835429020775</v>
      </c>
      <c r="H365" s="171">
        <v>44.838707258354994</v>
      </c>
      <c r="I365" s="175">
        <f t="shared" si="28"/>
        <v>922.53609363328246</v>
      </c>
      <c r="J365" s="175">
        <f t="shared" si="26"/>
        <v>104.99231458972088</v>
      </c>
      <c r="K365" s="176">
        <f t="shared" si="27"/>
        <v>1.7961804538435564E-3</v>
      </c>
    </row>
    <row r="366" spans="1:11" x14ac:dyDescent="0.2">
      <c r="A366" s="500"/>
      <c r="B366" s="501"/>
      <c r="C366" s="501"/>
      <c r="D366" s="501"/>
      <c r="E366" s="535"/>
      <c r="F366" s="170" t="s">
        <v>196</v>
      </c>
      <c r="G366" s="177">
        <v>113.80835429020775</v>
      </c>
      <c r="H366" s="171">
        <v>134.51612177506499</v>
      </c>
      <c r="I366" s="175">
        <f t="shared" si="28"/>
        <v>11800.615979561311</v>
      </c>
      <c r="J366" s="175">
        <f t="shared" si="26"/>
        <v>1343.0086842446005</v>
      </c>
      <c r="K366" s="176">
        <f t="shared" si="27"/>
        <v>1.616562408459201E-2</v>
      </c>
    </row>
    <row r="367" spans="1:11" x14ac:dyDescent="0.2">
      <c r="A367" s="500"/>
      <c r="B367" s="501"/>
      <c r="C367" s="501"/>
      <c r="D367" s="501"/>
      <c r="E367" s="535"/>
      <c r="F367" s="170" t="s">
        <v>197</v>
      </c>
      <c r="G367" s="177">
        <v>113.80835429020775</v>
      </c>
      <c r="H367" s="171">
        <v>89.677414516709987</v>
      </c>
      <c r="I367" s="175">
        <f t="shared" si="28"/>
        <v>4606.5199525871285</v>
      </c>
      <c r="J367" s="175">
        <f t="shared" si="26"/>
        <v>524.26045480894697</v>
      </c>
      <c r="K367" s="176">
        <f t="shared" si="27"/>
        <v>7.1847218153742254E-3</v>
      </c>
    </row>
    <row r="368" spans="1:11" x14ac:dyDescent="0.2">
      <c r="A368" s="500"/>
      <c r="B368" s="501"/>
      <c r="C368" s="501"/>
      <c r="D368" s="501"/>
      <c r="E368" s="535"/>
      <c r="F368" s="179" t="s">
        <v>182</v>
      </c>
      <c r="G368" s="177">
        <v>307.7377900007217</v>
      </c>
      <c r="H368" s="171">
        <v>251.096760646788</v>
      </c>
      <c r="I368" s="175">
        <f t="shared" si="28"/>
        <v>50208.770812469171</v>
      </c>
      <c r="J368" s="175">
        <f t="shared" si="26"/>
        <v>15451.136168482004</v>
      </c>
      <c r="K368" s="176">
        <f t="shared" si="27"/>
        <v>0.15231150426397178</v>
      </c>
    </row>
    <row r="369" spans="1:11" x14ac:dyDescent="0.2">
      <c r="A369" s="500"/>
      <c r="B369" s="501"/>
      <c r="C369" s="501"/>
      <c r="D369" s="501"/>
      <c r="E369" s="535"/>
      <c r="F369" s="179" t="s">
        <v>187</v>
      </c>
      <c r="G369" s="177">
        <v>113.80835429020775</v>
      </c>
      <c r="H369" s="171">
        <v>538.06448710025995</v>
      </c>
      <c r="I369" s="175">
        <f t="shared" si="28"/>
        <v>294227.90366239566</v>
      </c>
      <c r="J369" s="175">
        <f t="shared" si="26"/>
        <v>33485.59350207504</v>
      </c>
      <c r="K369" s="176">
        <f t="shared" si="27"/>
        <v>0.25864998535347217</v>
      </c>
    </row>
    <row r="370" spans="1:11" x14ac:dyDescent="0.2">
      <c r="A370" s="500"/>
      <c r="B370" s="501"/>
      <c r="C370" s="501"/>
      <c r="D370" s="501"/>
      <c r="E370" s="535"/>
      <c r="F370" s="170" t="s">
        <v>198</v>
      </c>
      <c r="G370" s="177">
        <v>45.523341716083102</v>
      </c>
      <c r="H370" s="171">
        <v>179.35482903341997</v>
      </c>
      <c r="I370" s="175">
        <f t="shared" si="28"/>
        <v>23001.838323757267</v>
      </c>
      <c r="J370" s="175">
        <f t="shared" si="26"/>
        <v>1047.1205461104983</v>
      </c>
      <c r="K370" s="176">
        <f t="shared" si="27"/>
        <v>1.1495554904598762E-2</v>
      </c>
    </row>
    <row r="371" spans="1:11" x14ac:dyDescent="0.2">
      <c r="A371" s="500"/>
      <c r="B371" s="501"/>
      <c r="C371" s="501"/>
      <c r="D371" s="501"/>
      <c r="E371" s="535"/>
      <c r="F371" s="170" t="s">
        <v>173</v>
      </c>
      <c r="G371" s="177">
        <v>45.523341716083102</v>
      </c>
      <c r="H371" s="171">
        <v>53.806448710025997</v>
      </c>
      <c r="I371" s="175">
        <f t="shared" si="28"/>
        <v>1408.2632869382887</v>
      </c>
      <c r="J371" s="175">
        <f t="shared" si="26"/>
        <v>64.108850837506111</v>
      </c>
      <c r="K371" s="176">
        <f t="shared" si="27"/>
        <v>1.0345999414138889E-3</v>
      </c>
    </row>
    <row r="372" spans="1:11" x14ac:dyDescent="0.2">
      <c r="A372" s="500"/>
      <c r="B372" s="501"/>
      <c r="C372" s="501"/>
      <c r="D372" s="501"/>
      <c r="E372" s="535"/>
      <c r="F372" s="170" t="s">
        <v>199</v>
      </c>
      <c r="G372" s="177">
        <v>182.09336686433241</v>
      </c>
      <c r="H372" s="171">
        <v>130.0322510492295</v>
      </c>
      <c r="I372" s="175">
        <f t="shared" si="28"/>
        <v>10908.039998574639</v>
      </c>
      <c r="J372" s="175">
        <f t="shared" si="26"/>
        <v>1986.2817292312639</v>
      </c>
      <c r="K372" s="176">
        <f t="shared" si="27"/>
        <v>2.4169404186918906E-2</v>
      </c>
    </row>
    <row r="373" spans="1:11" x14ac:dyDescent="0.2">
      <c r="A373" s="500"/>
      <c r="B373" s="501"/>
      <c r="C373" s="501"/>
      <c r="D373" s="501"/>
      <c r="E373" s="535"/>
      <c r="F373" s="170" t="s">
        <v>172</v>
      </c>
      <c r="G373" s="177">
        <v>80</v>
      </c>
      <c r="H373" s="171">
        <v>605.32254798779297</v>
      </c>
      <c r="I373" s="175">
        <f t="shared" si="28"/>
        <v>386685.34190178796</v>
      </c>
      <c r="J373" s="175">
        <f t="shared" si="26"/>
        <v>30934.827352143038</v>
      </c>
      <c r="K373" s="176">
        <f t="shared" si="27"/>
        <v>0.23010886310032855</v>
      </c>
    </row>
    <row r="374" spans="1:11" x14ac:dyDescent="0.2">
      <c r="A374" s="162">
        <v>12</v>
      </c>
      <c r="B374" s="75"/>
      <c r="C374" s="75"/>
      <c r="D374" s="75" t="s">
        <v>37</v>
      </c>
      <c r="E374" s="481">
        <f>Assumptions!D72</f>
        <v>2315.3180000000002</v>
      </c>
      <c r="F374" s="170" t="s">
        <v>323</v>
      </c>
      <c r="G374" s="177">
        <v>0</v>
      </c>
      <c r="H374" s="171">
        <v>0</v>
      </c>
      <c r="I374" s="175">
        <v>0</v>
      </c>
      <c r="J374" s="175">
        <f t="shared" si="26"/>
        <v>0</v>
      </c>
      <c r="K374" s="176">
        <f t="shared" si="27"/>
        <v>0</v>
      </c>
    </row>
    <row r="375" spans="1:11" x14ac:dyDescent="0.2">
      <c r="A375" s="500">
        <v>13</v>
      </c>
      <c r="B375" s="501"/>
      <c r="C375" s="501"/>
      <c r="D375" s="501" t="s">
        <v>35</v>
      </c>
      <c r="E375" s="535">
        <f>Assumptions!D73</f>
        <v>5717.201</v>
      </c>
      <c r="F375" s="179" t="s">
        <v>188</v>
      </c>
      <c r="G375" s="177">
        <v>45.523341716083102</v>
      </c>
      <c r="H375" s="171">
        <v>170.38708758174897</v>
      </c>
      <c r="I375" s="175">
        <f t="shared" si="28"/>
        <v>20421.202449528661</v>
      </c>
      <c r="J375" s="175">
        <f t="shared" si="26"/>
        <v>929.64137736320652</v>
      </c>
      <c r="K375" s="176">
        <f t="shared" si="27"/>
        <v>1.0374738301400383E-2</v>
      </c>
    </row>
    <row r="376" spans="1:11" x14ac:dyDescent="0.2">
      <c r="A376" s="500"/>
      <c r="B376" s="501"/>
      <c r="C376" s="501"/>
      <c r="D376" s="501"/>
      <c r="E376" s="535"/>
      <c r="F376" s="179" t="s">
        <v>182</v>
      </c>
      <c r="G376" s="177">
        <v>45.523341716083102</v>
      </c>
      <c r="H376" s="171">
        <v>179.35482903341997</v>
      </c>
      <c r="I376" s="175">
        <f t="shared" si="28"/>
        <v>23001.838323757267</v>
      </c>
      <c r="J376" s="175">
        <f t="shared" si="26"/>
        <v>1047.1205461104983</v>
      </c>
      <c r="K376" s="176">
        <f t="shared" si="27"/>
        <v>1.1495554904598762E-2</v>
      </c>
    </row>
    <row r="377" spans="1:11" x14ac:dyDescent="0.2">
      <c r="A377" s="500"/>
      <c r="B377" s="501"/>
      <c r="C377" s="501"/>
      <c r="D377" s="501"/>
      <c r="E377" s="535"/>
      <c r="F377" s="179" t="s">
        <v>171</v>
      </c>
      <c r="G377" s="177">
        <v>136.57002514824933</v>
      </c>
      <c r="H377" s="171">
        <v>280.989232152358</v>
      </c>
      <c r="I377" s="175">
        <f t="shared" si="28"/>
        <v>65179.085984449615</v>
      </c>
      <c r="J377" s="175">
        <f t="shared" ref="J377:J412" si="29">(I377*G377)/1000</f>
        <v>8901.50941203619</v>
      </c>
      <c r="K377" s="176">
        <f t="shared" ref="K377:K412" si="30">0.00000001*3.14*(H377/2)^2*G377</f>
        <v>8.4645602614195584E-2</v>
      </c>
    </row>
    <row r="378" spans="1:11" x14ac:dyDescent="0.2">
      <c r="A378" s="500"/>
      <c r="B378" s="501"/>
      <c r="C378" s="501"/>
      <c r="D378" s="501"/>
      <c r="E378" s="535"/>
      <c r="F378" s="179" t="s">
        <v>172</v>
      </c>
      <c r="G378" s="177">
        <v>546.28010059299731</v>
      </c>
      <c r="H378" s="171">
        <v>256.32794316026269</v>
      </c>
      <c r="I378" s="175">
        <f t="shared" ref="I378:I412" si="31">EXP(-1.996+2.32*LN(H378))</f>
        <v>52668.969870793953</v>
      </c>
      <c r="J378" s="175">
        <f t="shared" si="29"/>
        <v>28772.010159146863</v>
      </c>
      <c r="K378" s="176">
        <f t="shared" si="30"/>
        <v>0.28175844561898744</v>
      </c>
    </row>
    <row r="379" spans="1:11" x14ac:dyDescent="0.2">
      <c r="A379" s="500">
        <v>14</v>
      </c>
      <c r="B379" s="501"/>
      <c r="C379" s="501"/>
      <c r="D379" s="501" t="s">
        <v>35</v>
      </c>
      <c r="E379" s="535">
        <f>Assumptions!D74</f>
        <v>3768.0449999999996</v>
      </c>
      <c r="F379" s="179" t="s">
        <v>201</v>
      </c>
      <c r="G379" s="177">
        <v>91.046683432166205</v>
      </c>
      <c r="H379" s="171">
        <v>89.677414516709987</v>
      </c>
      <c r="I379" s="175">
        <f t="shared" si="31"/>
        <v>4606.5199525871285</v>
      </c>
      <c r="J379" s="175">
        <f t="shared" si="29"/>
        <v>419.40836384715755</v>
      </c>
      <c r="K379" s="176">
        <f t="shared" si="30"/>
        <v>5.747777452299381E-3</v>
      </c>
    </row>
    <row r="380" spans="1:11" x14ac:dyDescent="0.2">
      <c r="A380" s="500"/>
      <c r="B380" s="501"/>
      <c r="C380" s="501"/>
      <c r="D380" s="501"/>
      <c r="E380" s="535"/>
      <c r="F380" s="179" t="s">
        <v>200</v>
      </c>
      <c r="G380" s="177">
        <v>1456.7469349146593</v>
      </c>
      <c r="H380" s="171">
        <v>63.334674002426439</v>
      </c>
      <c r="I380" s="175">
        <f t="shared" si="31"/>
        <v>2055.6850889860657</v>
      </c>
      <c r="J380" s="175">
        <f t="shared" si="29"/>
        <v>2994.6129525302199</v>
      </c>
      <c r="K380" s="176">
        <f t="shared" si="30"/>
        <v>4.5870856430256762E-2</v>
      </c>
    </row>
    <row r="381" spans="1:11" x14ac:dyDescent="0.2">
      <c r="A381" s="500"/>
      <c r="B381" s="501"/>
      <c r="C381" s="501"/>
      <c r="D381" s="501"/>
      <c r="E381" s="535"/>
      <c r="F381" s="179" t="s">
        <v>171</v>
      </c>
      <c r="G381" s="177">
        <v>364.18673372866482</v>
      </c>
      <c r="H381" s="171">
        <v>112.09676814588747</v>
      </c>
      <c r="I381" s="175">
        <f t="shared" si="31"/>
        <v>7730.4395202400938</v>
      </c>
      <c r="J381" s="175">
        <f t="shared" si="29"/>
        <v>2815.3235191632261</v>
      </c>
      <c r="K381" s="176">
        <f t="shared" si="30"/>
        <v>3.5923609076871123E-2</v>
      </c>
    </row>
    <row r="382" spans="1:11" x14ac:dyDescent="0.2">
      <c r="A382" s="500">
        <v>15</v>
      </c>
      <c r="B382" s="501"/>
      <c r="C382" s="501"/>
      <c r="D382" s="501" t="s">
        <v>34</v>
      </c>
      <c r="E382" s="535">
        <f>Assumptions!D75</f>
        <v>236.66199999999998</v>
      </c>
      <c r="F382" s="179" t="s">
        <v>292</v>
      </c>
      <c r="G382" s="177">
        <v>50.075675887691411</v>
      </c>
      <c r="H382" s="171">
        <v>71.741931613367996</v>
      </c>
      <c r="I382" s="175">
        <f t="shared" si="31"/>
        <v>2744.9960662682038</v>
      </c>
      <c r="J382" s="175">
        <f t="shared" si="29"/>
        <v>137.45753332743448</v>
      </c>
      <c r="K382" s="176">
        <f t="shared" si="30"/>
        <v>2.0232176632093823E-3</v>
      </c>
    </row>
    <row r="383" spans="1:11" x14ac:dyDescent="0.2">
      <c r="A383" s="500"/>
      <c r="B383" s="501"/>
      <c r="C383" s="501"/>
      <c r="D383" s="501"/>
      <c r="E383" s="535"/>
      <c r="F383" s="179" t="s">
        <v>293</v>
      </c>
      <c r="G383" s="177">
        <v>120.18162213045939</v>
      </c>
      <c r="H383" s="171">
        <v>279.79353329213518</v>
      </c>
      <c r="I383" s="175">
        <f t="shared" si="31"/>
        <v>64537.422230798642</v>
      </c>
      <c r="J383" s="175">
        <f t="shared" si="29"/>
        <v>7756.2120918157516</v>
      </c>
      <c r="K383" s="176">
        <f t="shared" si="30"/>
        <v>7.3855537577795297E-2</v>
      </c>
    </row>
    <row r="384" spans="1:11" x14ac:dyDescent="0.2">
      <c r="A384" s="162">
        <v>16</v>
      </c>
      <c r="B384" s="170"/>
      <c r="C384" s="170"/>
      <c r="D384" s="170" t="s">
        <v>35</v>
      </c>
      <c r="E384" s="171">
        <f>Assumptions!D76</f>
        <v>6640.8160000000016</v>
      </c>
      <c r="F384" s="179" t="s">
        <v>323</v>
      </c>
      <c r="G384" s="177">
        <v>0</v>
      </c>
      <c r="H384" s="171">
        <v>0</v>
      </c>
      <c r="I384" s="175">
        <v>0</v>
      </c>
      <c r="J384" s="175">
        <f t="shared" si="29"/>
        <v>0</v>
      </c>
      <c r="K384" s="176">
        <f t="shared" si="30"/>
        <v>0</v>
      </c>
    </row>
    <row r="385" spans="1:11" x14ac:dyDescent="0.2">
      <c r="A385" s="162">
        <v>17</v>
      </c>
      <c r="B385" s="75"/>
      <c r="C385" s="75"/>
      <c r="D385" s="75" t="s">
        <v>36</v>
      </c>
      <c r="E385" s="481">
        <f>Assumptions!D77</f>
        <v>837.08299999999997</v>
      </c>
      <c r="F385" s="179" t="s">
        <v>323</v>
      </c>
      <c r="G385" s="177">
        <v>0</v>
      </c>
      <c r="H385" s="171">
        <v>0</v>
      </c>
      <c r="I385" s="175">
        <v>0</v>
      </c>
      <c r="J385" s="175">
        <f t="shared" si="29"/>
        <v>0</v>
      </c>
      <c r="K385" s="176">
        <f t="shared" si="30"/>
        <v>0</v>
      </c>
    </row>
    <row r="386" spans="1:11" x14ac:dyDescent="0.2">
      <c r="A386" s="500">
        <v>18</v>
      </c>
      <c r="B386" s="501"/>
      <c r="C386" s="501"/>
      <c r="D386" s="501" t="s">
        <v>34</v>
      </c>
      <c r="E386" s="535">
        <f>Assumptions!D78</f>
        <v>1849.3409999999997</v>
      </c>
      <c r="F386" s="173" t="s">
        <v>308</v>
      </c>
      <c r="G386" s="178">
        <v>910.46683432166196</v>
      </c>
      <c r="H386" s="171">
        <v>59.187093581028591</v>
      </c>
      <c r="I386" s="175">
        <f t="shared" si="31"/>
        <v>1756.7699214378688</v>
      </c>
      <c r="J386" s="175">
        <f t="shared" si="29"/>
        <v>1599.4807490030512</v>
      </c>
      <c r="K386" s="176">
        <f t="shared" si="30"/>
        <v>2.5037318582216101E-2</v>
      </c>
    </row>
    <row r="387" spans="1:11" x14ac:dyDescent="0.2">
      <c r="A387" s="500"/>
      <c r="B387" s="501"/>
      <c r="C387" s="501"/>
      <c r="D387" s="501"/>
      <c r="E387" s="535"/>
      <c r="F387" s="173" t="s">
        <v>309</v>
      </c>
      <c r="G387" s="178">
        <v>227.61670858041549</v>
      </c>
      <c r="H387" s="171">
        <v>68.154835032699594</v>
      </c>
      <c r="I387" s="175">
        <f t="shared" si="31"/>
        <v>2437.0278411411</v>
      </c>
      <c r="J387" s="175">
        <f t="shared" si="29"/>
        <v>554.70825591937285</v>
      </c>
      <c r="K387" s="176">
        <f t="shared" si="30"/>
        <v>8.2997906411203075E-3</v>
      </c>
    </row>
    <row r="388" spans="1:11" x14ac:dyDescent="0.2">
      <c r="A388" s="500"/>
      <c r="B388" s="501"/>
      <c r="C388" s="501"/>
      <c r="D388" s="501"/>
      <c r="E388" s="535"/>
      <c r="F388" s="173" t="s">
        <v>310</v>
      </c>
      <c r="G388" s="178">
        <v>45.523341716083102</v>
      </c>
      <c r="H388" s="171">
        <v>71.741931613367996</v>
      </c>
      <c r="I388" s="175">
        <f t="shared" si="31"/>
        <v>2744.9960662682038</v>
      </c>
      <c r="J388" s="175">
        <f t="shared" si="29"/>
        <v>124.96139393403134</v>
      </c>
      <c r="K388" s="176">
        <f t="shared" si="30"/>
        <v>1.8392887847358023E-3</v>
      </c>
    </row>
    <row r="389" spans="1:11" x14ac:dyDescent="0.2">
      <c r="A389" s="500"/>
      <c r="B389" s="501"/>
      <c r="C389" s="501"/>
      <c r="D389" s="501"/>
      <c r="E389" s="535"/>
      <c r="F389" s="173" t="s">
        <v>185</v>
      </c>
      <c r="G389" s="178">
        <v>45.523341716083102</v>
      </c>
      <c r="H389" s="171">
        <v>89.677414516709987</v>
      </c>
      <c r="I389" s="175">
        <f t="shared" si="31"/>
        <v>4606.5199525871285</v>
      </c>
      <c r="J389" s="175">
        <f t="shared" si="29"/>
        <v>209.70418192357877</v>
      </c>
      <c r="K389" s="176">
        <f t="shared" si="30"/>
        <v>2.8738887261496905E-3</v>
      </c>
    </row>
    <row r="390" spans="1:11" x14ac:dyDescent="0.2">
      <c r="A390" s="500"/>
      <c r="B390" s="501"/>
      <c r="C390" s="501"/>
      <c r="D390" s="501"/>
      <c r="E390" s="535"/>
      <c r="F390" s="173" t="s">
        <v>311</v>
      </c>
      <c r="G390" s="178">
        <v>227.61670858041549</v>
      </c>
      <c r="H390" s="171">
        <v>62.774190161697</v>
      </c>
      <c r="I390" s="175">
        <f t="shared" si="31"/>
        <v>2013.7261482976032</v>
      </c>
      <c r="J390" s="175">
        <f t="shared" si="29"/>
        <v>458.3577178578181</v>
      </c>
      <c r="K390" s="176">
        <f t="shared" si="30"/>
        <v>7.0410273790667442E-3</v>
      </c>
    </row>
    <row r="391" spans="1:11" x14ac:dyDescent="0.2">
      <c r="A391" s="500"/>
      <c r="B391" s="501"/>
      <c r="C391" s="501"/>
      <c r="D391" s="501"/>
      <c r="E391" s="535"/>
      <c r="F391" s="173" t="s">
        <v>295</v>
      </c>
      <c r="G391" s="178">
        <v>91.046683432166205</v>
      </c>
      <c r="H391" s="171">
        <v>76.225802339203483</v>
      </c>
      <c r="I391" s="175">
        <f t="shared" si="31"/>
        <v>3159.5473211013195</v>
      </c>
      <c r="J391" s="175">
        <f t="shared" si="29"/>
        <v>287.66630473326063</v>
      </c>
      <c r="K391" s="176">
        <f t="shared" si="30"/>
        <v>4.1527692092863016E-3</v>
      </c>
    </row>
    <row r="392" spans="1:11" x14ac:dyDescent="0.2">
      <c r="A392" s="500"/>
      <c r="B392" s="501"/>
      <c r="C392" s="501"/>
      <c r="D392" s="501"/>
      <c r="E392" s="535"/>
      <c r="F392" s="173" t="s">
        <v>312</v>
      </c>
      <c r="G392" s="178">
        <v>910.46683432166196</v>
      </c>
      <c r="H392" s="171">
        <v>71.741931613367996</v>
      </c>
      <c r="I392" s="175">
        <f t="shared" si="31"/>
        <v>2744.9960662682038</v>
      </c>
      <c r="J392" s="175">
        <f t="shared" si="29"/>
        <v>2499.2278786806264</v>
      </c>
      <c r="K392" s="176">
        <f t="shared" si="30"/>
        <v>3.6785775694716041E-2</v>
      </c>
    </row>
    <row r="393" spans="1:11" x14ac:dyDescent="0.2">
      <c r="A393" s="500"/>
      <c r="B393" s="501"/>
      <c r="C393" s="501"/>
      <c r="D393" s="501"/>
      <c r="E393" s="535"/>
      <c r="F393" s="173" t="s">
        <v>313</v>
      </c>
      <c r="G393" s="178">
        <v>227.61670858041549</v>
      </c>
      <c r="H393" s="171">
        <v>170.38708758174897</v>
      </c>
      <c r="I393" s="175">
        <f t="shared" si="31"/>
        <v>20421.202449528661</v>
      </c>
      <c r="J393" s="175">
        <f t="shared" si="29"/>
        <v>4648.2068868160322</v>
      </c>
      <c r="K393" s="176">
        <f t="shared" si="30"/>
        <v>5.1873691507001912E-2</v>
      </c>
    </row>
    <row r="394" spans="1:11" x14ac:dyDescent="0.2">
      <c r="A394" s="500"/>
      <c r="B394" s="501"/>
      <c r="C394" s="501"/>
      <c r="D394" s="501"/>
      <c r="E394" s="535"/>
      <c r="F394" s="173" t="s">
        <v>314</v>
      </c>
      <c r="G394" s="178">
        <v>136.57002514824933</v>
      </c>
      <c r="H394" s="171">
        <v>101.33547840388229</v>
      </c>
      <c r="I394" s="175">
        <f t="shared" si="31"/>
        <v>6116.6685202845329</v>
      </c>
      <c r="J394" s="175">
        <f t="shared" si="29"/>
        <v>835.35357363876358</v>
      </c>
      <c r="K394" s="176">
        <f t="shared" si="30"/>
        <v>1.1009005543261622E-2</v>
      </c>
    </row>
    <row r="395" spans="1:11" x14ac:dyDescent="0.2">
      <c r="A395" s="500"/>
      <c r="B395" s="501"/>
      <c r="C395" s="501"/>
      <c r="D395" s="501"/>
      <c r="E395" s="535"/>
      <c r="F395" s="173" t="s">
        <v>315</v>
      </c>
      <c r="G395" s="178">
        <v>1001.5135177538284</v>
      </c>
      <c r="H395" s="171">
        <v>283.38062987280358</v>
      </c>
      <c r="I395" s="175">
        <f t="shared" si="31"/>
        <v>66473.261558968879</v>
      </c>
      <c r="J395" s="175">
        <f t="shared" si="29"/>
        <v>66573.870020493268</v>
      </c>
      <c r="K395" s="176">
        <f t="shared" si="30"/>
        <v>0.63134507180448785</v>
      </c>
    </row>
    <row r="396" spans="1:11" x14ac:dyDescent="0.2">
      <c r="A396" s="500"/>
      <c r="B396" s="501"/>
      <c r="C396" s="501"/>
      <c r="D396" s="501"/>
      <c r="E396" s="535"/>
      <c r="F396" s="173" t="s">
        <v>316</v>
      </c>
      <c r="G396" s="178">
        <v>227.61670858041549</v>
      </c>
      <c r="H396" s="171">
        <v>277.99998500180101</v>
      </c>
      <c r="I396" s="175">
        <f t="shared" si="31"/>
        <v>63581.692784888546</v>
      </c>
      <c r="J396" s="175">
        <f t="shared" si="29"/>
        <v>14472.255637667482</v>
      </c>
      <c r="K396" s="176">
        <f t="shared" si="30"/>
        <v>0.13809035329149266</v>
      </c>
    </row>
    <row r="397" spans="1:11" x14ac:dyDescent="0.2">
      <c r="A397" s="500"/>
      <c r="B397" s="501"/>
      <c r="C397" s="501"/>
      <c r="D397" s="501"/>
      <c r="E397" s="535"/>
      <c r="F397" s="173" t="s">
        <v>317</v>
      </c>
      <c r="G397" s="178">
        <v>227.61670858041549</v>
      </c>
      <c r="H397" s="171">
        <v>277.10321085663389</v>
      </c>
      <c r="I397" s="175">
        <f t="shared" si="31"/>
        <v>63106.86832411596</v>
      </c>
      <c r="J397" s="175">
        <f t="shared" si="29"/>
        <v>14364.177656752956</v>
      </c>
      <c r="K397" s="176">
        <f t="shared" si="30"/>
        <v>0.13720088473074932</v>
      </c>
    </row>
    <row r="398" spans="1:11" x14ac:dyDescent="0.2">
      <c r="A398" s="500"/>
      <c r="B398" s="501"/>
      <c r="C398" s="501"/>
      <c r="D398" s="501"/>
      <c r="E398" s="535"/>
      <c r="F398" s="173" t="s">
        <v>172</v>
      </c>
      <c r="G398" s="178">
        <v>500.7567588769142</v>
      </c>
      <c r="H398" s="171">
        <v>163.21289442041217</v>
      </c>
      <c r="I398" s="175">
        <f t="shared" si="31"/>
        <v>18481.557879178119</v>
      </c>
      <c r="J398" s="175">
        <f t="shared" si="29"/>
        <v>9254.7650225733305</v>
      </c>
      <c r="K398" s="176">
        <f t="shared" si="30"/>
        <v>0.1047141591814806</v>
      </c>
    </row>
    <row r="399" spans="1:11" x14ac:dyDescent="0.2">
      <c r="A399" s="500"/>
      <c r="B399" s="501"/>
      <c r="C399" s="501"/>
      <c r="D399" s="501"/>
      <c r="E399" s="535"/>
      <c r="F399" s="173" t="s">
        <v>318</v>
      </c>
      <c r="G399" s="178">
        <v>477.99508801887254</v>
      </c>
      <c r="H399" s="171">
        <v>152.45160467840697</v>
      </c>
      <c r="I399" s="175">
        <f t="shared" si="31"/>
        <v>15776.637766524109</v>
      </c>
      <c r="J399" s="175">
        <f t="shared" si="29"/>
        <v>7541.1553578515604</v>
      </c>
      <c r="K399" s="176">
        <f t="shared" si="30"/>
        <v>8.7208153395012325E-2</v>
      </c>
    </row>
    <row r="400" spans="1:11" x14ac:dyDescent="0.2">
      <c r="A400" s="500"/>
      <c r="B400" s="501"/>
      <c r="C400" s="501"/>
      <c r="D400" s="501"/>
      <c r="E400" s="535"/>
      <c r="F400" s="173" t="s">
        <v>319</v>
      </c>
      <c r="G400" s="178">
        <v>204.85503772237394</v>
      </c>
      <c r="H400" s="171">
        <v>251.096760646788</v>
      </c>
      <c r="I400" s="175">
        <f t="shared" si="31"/>
        <v>50208.770812469171</v>
      </c>
      <c r="J400" s="175">
        <f t="shared" si="29"/>
        <v>10285.519638782398</v>
      </c>
      <c r="K400" s="176">
        <f t="shared" si="30"/>
        <v>0.10139079425856111</v>
      </c>
    </row>
    <row r="401" spans="1:11" x14ac:dyDescent="0.2">
      <c r="A401" s="500"/>
      <c r="B401" s="501"/>
      <c r="C401" s="501"/>
      <c r="D401" s="501"/>
      <c r="E401" s="535"/>
      <c r="F401" s="173" t="s">
        <v>320</v>
      </c>
      <c r="G401" s="178">
        <v>45.523341716083102</v>
      </c>
      <c r="H401" s="171">
        <v>277.99998500180101</v>
      </c>
      <c r="I401" s="175">
        <f t="shared" si="31"/>
        <v>63581.692784888546</v>
      </c>
      <c r="J401" s="175">
        <f t="shared" si="29"/>
        <v>2894.4511275334967</v>
      </c>
      <c r="K401" s="176">
        <f t="shared" si="30"/>
        <v>2.7618070658298535E-2</v>
      </c>
    </row>
    <row r="402" spans="1:11" x14ac:dyDescent="0.2">
      <c r="A402" s="162">
        <v>19</v>
      </c>
      <c r="B402" s="180"/>
      <c r="C402" s="180"/>
      <c r="D402" s="180" t="s">
        <v>37</v>
      </c>
      <c r="E402" s="481">
        <f>Assumptions!D79</f>
        <v>7884.7310000000007</v>
      </c>
      <c r="F402" s="173" t="s">
        <v>323</v>
      </c>
      <c r="G402" s="177">
        <v>0</v>
      </c>
      <c r="H402" s="171">
        <v>0</v>
      </c>
      <c r="I402" s="175">
        <v>0</v>
      </c>
      <c r="J402" s="175">
        <f t="shared" si="29"/>
        <v>0</v>
      </c>
      <c r="K402" s="176">
        <f t="shared" si="30"/>
        <v>0</v>
      </c>
    </row>
    <row r="403" spans="1:11" x14ac:dyDescent="0.2">
      <c r="A403" s="162">
        <v>20</v>
      </c>
      <c r="B403" s="180"/>
      <c r="C403" s="180"/>
      <c r="D403" s="180" t="s">
        <v>36</v>
      </c>
      <c r="E403" s="481">
        <f>Assumptions!D80</f>
        <v>2195.1750000000002</v>
      </c>
      <c r="F403" s="173" t="s">
        <v>323</v>
      </c>
      <c r="G403" s="177">
        <v>0</v>
      </c>
      <c r="H403" s="171">
        <v>0</v>
      </c>
      <c r="I403" s="175">
        <v>0</v>
      </c>
      <c r="J403" s="175">
        <f t="shared" si="29"/>
        <v>0</v>
      </c>
      <c r="K403" s="176">
        <f t="shared" si="30"/>
        <v>0</v>
      </c>
    </row>
    <row r="404" spans="1:11" x14ac:dyDescent="0.2">
      <c r="A404" s="162">
        <v>21</v>
      </c>
      <c r="B404" s="180"/>
      <c r="C404" s="180"/>
      <c r="D404" s="180" t="s">
        <v>37</v>
      </c>
      <c r="E404" s="481">
        <f>Assumptions!D81</f>
        <v>454.25200000000001</v>
      </c>
      <c r="F404" s="173" t="s">
        <v>323</v>
      </c>
      <c r="G404" s="177">
        <v>0</v>
      </c>
      <c r="H404" s="171">
        <v>0</v>
      </c>
      <c r="I404" s="175">
        <v>0</v>
      </c>
      <c r="J404" s="175">
        <f t="shared" si="29"/>
        <v>0</v>
      </c>
      <c r="K404" s="176">
        <f t="shared" si="30"/>
        <v>0</v>
      </c>
    </row>
    <row r="405" spans="1:11" x14ac:dyDescent="0.2">
      <c r="A405" s="500">
        <v>22</v>
      </c>
      <c r="B405" s="501"/>
      <c r="C405" s="501"/>
      <c r="D405" s="501" t="s">
        <v>35</v>
      </c>
      <c r="E405" s="535">
        <f>Assumptions!D82</f>
        <v>18064.454000000005</v>
      </c>
      <c r="F405" s="179" t="s">
        <v>175</v>
      </c>
      <c r="G405" s="177">
        <v>91.046683432166205</v>
      </c>
      <c r="H405" s="171">
        <v>64.055296083364269</v>
      </c>
      <c r="I405" s="175">
        <f t="shared" si="31"/>
        <v>2110.3569250943879</v>
      </c>
      <c r="J405" s="175">
        <f t="shared" si="29"/>
        <v>192.14099888794843</v>
      </c>
      <c r="K405" s="176">
        <f t="shared" si="30"/>
        <v>2.9325395164792748E-3</v>
      </c>
    </row>
    <row r="406" spans="1:11" x14ac:dyDescent="0.2">
      <c r="A406" s="500"/>
      <c r="B406" s="501"/>
      <c r="C406" s="501"/>
      <c r="D406" s="501"/>
      <c r="E406" s="535"/>
      <c r="F406" s="179" t="s">
        <v>172</v>
      </c>
      <c r="G406" s="177">
        <v>682.85012574124664</v>
      </c>
      <c r="H406" s="171">
        <v>161.41934613007797</v>
      </c>
      <c r="I406" s="175">
        <f t="shared" si="31"/>
        <v>18013.793023343194</v>
      </c>
      <c r="J406" s="175">
        <f t="shared" si="29"/>
        <v>12300.720831066692</v>
      </c>
      <c r="K406" s="176">
        <f t="shared" si="30"/>
        <v>0.13967099209087497</v>
      </c>
    </row>
    <row r="407" spans="1:11" x14ac:dyDescent="0.2">
      <c r="A407" s="500"/>
      <c r="B407" s="501"/>
      <c r="C407" s="501"/>
      <c r="D407" s="501"/>
      <c r="E407" s="535"/>
      <c r="F407" s="179" t="s">
        <v>202</v>
      </c>
      <c r="G407" s="177">
        <v>45.523341716083102</v>
      </c>
      <c r="H407" s="171">
        <v>111.79784343083179</v>
      </c>
      <c r="I407" s="175">
        <f t="shared" si="31"/>
        <v>7682.6980169364988</v>
      </c>
      <c r="J407" s="175">
        <f t="shared" si="29"/>
        <v>349.74208712647425</v>
      </c>
      <c r="K407" s="176">
        <f t="shared" si="30"/>
        <v>4.4665339939879353E-3</v>
      </c>
    </row>
    <row r="408" spans="1:11" x14ac:dyDescent="0.2">
      <c r="A408" s="500"/>
      <c r="B408" s="501"/>
      <c r="C408" s="501"/>
      <c r="D408" s="501"/>
      <c r="E408" s="535"/>
      <c r="F408" s="179" t="s">
        <v>177</v>
      </c>
      <c r="G408" s="177">
        <v>409.71007544474787</v>
      </c>
      <c r="H408" s="171">
        <v>92.666661667266993</v>
      </c>
      <c r="I408" s="175">
        <f t="shared" si="31"/>
        <v>4970.6224310625348</v>
      </c>
      <c r="J408" s="175">
        <f t="shared" si="29"/>
        <v>2036.5140912379873</v>
      </c>
      <c r="K408" s="176">
        <f t="shared" si="30"/>
        <v>2.7618070658298528E-2</v>
      </c>
    </row>
    <row r="409" spans="1:11" x14ac:dyDescent="0.2">
      <c r="A409" s="500"/>
      <c r="B409" s="501"/>
      <c r="C409" s="501"/>
      <c r="D409" s="501"/>
      <c r="E409" s="535"/>
      <c r="F409" s="179" t="s">
        <v>188</v>
      </c>
      <c r="G409" s="177">
        <v>318.66339201258171</v>
      </c>
      <c r="H409" s="171">
        <v>105.62006598634733</v>
      </c>
      <c r="I409" s="175">
        <f t="shared" si="31"/>
        <v>6733.4856995545324</v>
      </c>
      <c r="J409" s="175">
        <f t="shared" si="29"/>
        <v>2145.7153930882587</v>
      </c>
      <c r="K409" s="176">
        <f t="shared" si="30"/>
        <v>2.7905814331990804E-2</v>
      </c>
    </row>
    <row r="410" spans="1:11" x14ac:dyDescent="0.2">
      <c r="A410" s="500"/>
      <c r="B410" s="501"/>
      <c r="C410" s="501"/>
      <c r="D410" s="501"/>
      <c r="E410" s="535"/>
      <c r="F410" s="179" t="s">
        <v>173</v>
      </c>
      <c r="G410" s="177">
        <v>955.99017603774507</v>
      </c>
      <c r="H410" s="171">
        <v>46.973883794467135</v>
      </c>
      <c r="I410" s="175">
        <f t="shared" si="31"/>
        <v>1027.6736528649421</v>
      </c>
      <c r="J410" s="175">
        <f t="shared" si="29"/>
        <v>982.44591631170852</v>
      </c>
      <c r="K410" s="176">
        <f t="shared" si="30"/>
        <v>1.6559073136386309E-2</v>
      </c>
    </row>
    <row r="411" spans="1:11" x14ac:dyDescent="0.2">
      <c r="A411" s="500"/>
      <c r="B411" s="501"/>
      <c r="C411" s="501"/>
      <c r="D411" s="501"/>
      <c r="E411" s="535"/>
      <c r="F411" s="179" t="s">
        <v>185</v>
      </c>
      <c r="G411" s="177">
        <v>273.14005029649866</v>
      </c>
      <c r="H411" s="171">
        <v>197.29031193676198</v>
      </c>
      <c r="I411" s="175">
        <f t="shared" si="31"/>
        <v>28694.163996000298</v>
      </c>
      <c r="J411" s="175">
        <f t="shared" si="29"/>
        <v>7837.525397083502</v>
      </c>
      <c r="K411" s="176">
        <f t="shared" si="30"/>
        <v>8.3457728607387038E-2</v>
      </c>
    </row>
    <row r="412" spans="1:11" x14ac:dyDescent="0.2">
      <c r="A412" s="500"/>
      <c r="B412" s="501"/>
      <c r="C412" s="501"/>
      <c r="D412" s="501"/>
      <c r="E412" s="535"/>
      <c r="F412" s="179" t="s">
        <v>170</v>
      </c>
      <c r="G412" s="177">
        <v>91.046683432166205</v>
      </c>
      <c r="H412" s="171">
        <v>53.806448710025997</v>
      </c>
      <c r="I412" s="175">
        <f t="shared" si="31"/>
        <v>1408.2632869382887</v>
      </c>
      <c r="J412" s="175">
        <f t="shared" si="29"/>
        <v>128.21770167501222</v>
      </c>
      <c r="K412" s="176">
        <f t="shared" si="30"/>
        <v>2.0691998828277778E-3</v>
      </c>
    </row>
    <row r="413" spans="1:11" x14ac:dyDescent="0.2">
      <c r="A413" s="152">
        <v>2017</v>
      </c>
      <c r="E413" s="81"/>
    </row>
    <row r="414" spans="1:11" ht="26" x14ac:dyDescent="0.2">
      <c r="A414" s="499" t="s">
        <v>8</v>
      </c>
      <c r="B414" s="499" t="s">
        <v>169</v>
      </c>
      <c r="C414" s="499" t="s">
        <v>31</v>
      </c>
      <c r="D414" s="499" t="s">
        <v>32</v>
      </c>
      <c r="E414" s="158" t="s">
        <v>65</v>
      </c>
      <c r="F414" s="499" t="s">
        <v>494</v>
      </c>
      <c r="G414" s="151" t="s">
        <v>495</v>
      </c>
      <c r="H414" s="151" t="s">
        <v>504</v>
      </c>
      <c r="I414" s="151" t="s">
        <v>205</v>
      </c>
      <c r="J414" s="151" t="s">
        <v>497</v>
      </c>
      <c r="K414" s="160" t="s">
        <v>508</v>
      </c>
    </row>
    <row r="415" spans="1:11" x14ac:dyDescent="0.2">
      <c r="A415" s="500"/>
      <c r="B415" s="500"/>
      <c r="C415" s="500"/>
      <c r="D415" s="500"/>
      <c r="E415" s="162" t="s">
        <v>499</v>
      </c>
      <c r="F415" s="500"/>
      <c r="G415" s="162" t="s">
        <v>506</v>
      </c>
      <c r="H415" s="162" t="s">
        <v>500</v>
      </c>
      <c r="I415" s="171" t="s">
        <v>501</v>
      </c>
      <c r="J415" s="171"/>
      <c r="K415" s="172" t="s">
        <v>499</v>
      </c>
    </row>
    <row r="416" spans="1:11" x14ac:dyDescent="0.2">
      <c r="A416" s="500">
        <v>1</v>
      </c>
      <c r="B416" s="500"/>
      <c r="C416" s="500"/>
      <c r="D416" s="500" t="s">
        <v>34</v>
      </c>
      <c r="E416" s="535">
        <f>Assumptions!D61</f>
        <v>183.761</v>
      </c>
      <c r="F416" s="173" t="s">
        <v>292</v>
      </c>
      <c r="G416" s="174">
        <v>46.975885545448961</v>
      </c>
      <c r="H416" s="171">
        <v>73.361360823242052</v>
      </c>
      <c r="I416" s="175">
        <f>EXP(-1.996+2.32*LN(H416))</f>
        <v>2890.8964296810359</v>
      </c>
      <c r="J416" s="171">
        <f t="shared" ref="J416:J479" si="32">(I416*G416)/1000</f>
        <v>135.80241980444336</v>
      </c>
      <c r="K416" s="181">
        <f t="shared" ref="K416:K479" si="33">0.00000001*3.14*(H416/2)^2*G416</f>
        <v>1.9846292597616726E-3</v>
      </c>
    </row>
    <row r="417" spans="1:11" x14ac:dyDescent="0.2">
      <c r="A417" s="500"/>
      <c r="B417" s="500"/>
      <c r="C417" s="500"/>
      <c r="D417" s="500"/>
      <c r="E417" s="535"/>
      <c r="F417" s="173" t="s">
        <v>293</v>
      </c>
      <c r="G417" s="177">
        <v>92.715563576544</v>
      </c>
      <c r="H417" s="171">
        <v>55.09712161413615</v>
      </c>
      <c r="I417" s="175">
        <f t="shared" ref="I417:I480" si="34">EXP(-1.996+2.32*LN(H417))</f>
        <v>1487.8778814818879</v>
      </c>
      <c r="J417" s="171">
        <f t="shared" si="32"/>
        <v>137.94943631466757</v>
      </c>
      <c r="K417" s="181">
        <f t="shared" si="33"/>
        <v>2.2094293624552062E-3</v>
      </c>
    </row>
    <row r="418" spans="1:11" x14ac:dyDescent="0.2">
      <c r="A418" s="500"/>
      <c r="B418" s="500"/>
      <c r="C418" s="500"/>
      <c r="D418" s="500"/>
      <c r="E418" s="535"/>
      <c r="F418" s="173" t="s">
        <v>294</v>
      </c>
      <c r="G418" s="174">
        <v>789.00944603638936</v>
      </c>
      <c r="H418" s="171">
        <v>50.531061811859679</v>
      </c>
      <c r="I418" s="175">
        <f t="shared" si="34"/>
        <v>1217.3171995522778</v>
      </c>
      <c r="J418" s="171">
        <f t="shared" si="32"/>
        <v>960.47476926931154</v>
      </c>
      <c r="K418" s="181">
        <f t="shared" si="33"/>
        <v>1.5814982210724682E-2</v>
      </c>
    </row>
    <row r="419" spans="1:11" x14ac:dyDescent="0.2">
      <c r="A419" s="500"/>
      <c r="B419" s="500"/>
      <c r="C419" s="500"/>
      <c r="D419" s="500"/>
      <c r="E419" s="535"/>
      <c r="F419" s="173" t="s">
        <v>295</v>
      </c>
      <c r="G419" s="178">
        <v>185.74017903167652</v>
      </c>
      <c r="H419" s="171">
        <v>75.796592717789522</v>
      </c>
      <c r="I419" s="175">
        <f t="shared" si="34"/>
        <v>3118.4262621425673</v>
      </c>
      <c r="J419" s="171">
        <f t="shared" si="32"/>
        <v>579.21705222744231</v>
      </c>
      <c r="K419" s="181">
        <f t="shared" si="33"/>
        <v>8.3767370522728028E-3</v>
      </c>
    </row>
    <row r="420" spans="1:11" x14ac:dyDescent="0.2">
      <c r="A420" s="500"/>
      <c r="B420" s="500"/>
      <c r="C420" s="500"/>
      <c r="D420" s="500"/>
      <c r="E420" s="535"/>
      <c r="F420" s="173" t="s">
        <v>296</v>
      </c>
      <c r="G420" s="178">
        <v>92.715563576544</v>
      </c>
      <c r="H420" s="171">
        <v>77.623016638700079</v>
      </c>
      <c r="I420" s="175">
        <f t="shared" si="34"/>
        <v>3295.5371565326027</v>
      </c>
      <c r="J420" s="171">
        <f t="shared" si="32"/>
        <v>305.54758475536153</v>
      </c>
      <c r="K420" s="181">
        <f t="shared" si="33"/>
        <v>4.3853406273816342E-3</v>
      </c>
    </row>
    <row r="421" spans="1:11" x14ac:dyDescent="0.2">
      <c r="A421" s="500"/>
      <c r="B421" s="500"/>
      <c r="C421" s="500"/>
      <c r="D421" s="500"/>
      <c r="E421" s="535"/>
      <c r="F421" s="173" t="s">
        <v>297</v>
      </c>
      <c r="G421" s="178">
        <v>46.048729909683523</v>
      </c>
      <c r="H421" s="171">
        <v>65.142453179144383</v>
      </c>
      <c r="I421" s="175">
        <f t="shared" si="34"/>
        <v>2194.3856175527967</v>
      </c>
      <c r="J421" s="171">
        <f t="shared" si="32"/>
        <v>101.04867062038282</v>
      </c>
      <c r="K421" s="181">
        <f t="shared" si="33"/>
        <v>1.5339652875234566E-3</v>
      </c>
    </row>
    <row r="422" spans="1:11" x14ac:dyDescent="0.2">
      <c r="A422" s="500"/>
      <c r="B422" s="500"/>
      <c r="C422" s="500"/>
      <c r="D422" s="500"/>
      <c r="E422" s="535"/>
      <c r="F422" s="173" t="s">
        <v>298</v>
      </c>
      <c r="G422" s="178">
        <v>92.715563576544</v>
      </c>
      <c r="H422" s="171">
        <v>56.619141548228306</v>
      </c>
      <c r="I422" s="175">
        <f t="shared" si="34"/>
        <v>1584.9772194265231</v>
      </c>
      <c r="J422" s="171">
        <f t="shared" si="32"/>
        <v>146.95205615511372</v>
      </c>
      <c r="K422" s="181">
        <f t="shared" si="33"/>
        <v>2.3331833040352956E-3</v>
      </c>
    </row>
    <row r="423" spans="1:11" x14ac:dyDescent="0.2">
      <c r="A423" s="500"/>
      <c r="B423" s="500"/>
      <c r="C423" s="500"/>
      <c r="D423" s="500"/>
      <c r="E423" s="535"/>
      <c r="F423" s="173" t="s">
        <v>299</v>
      </c>
      <c r="G423" s="178">
        <v>46.666833666860484</v>
      </c>
      <c r="H423" s="171">
        <v>52.053081745951829</v>
      </c>
      <c r="I423" s="175">
        <f t="shared" si="34"/>
        <v>1304.0792063111248</v>
      </c>
      <c r="J423" s="171">
        <f t="shared" si="32"/>
        <v>60.857247409332693</v>
      </c>
      <c r="K423" s="181">
        <f t="shared" si="33"/>
        <v>9.9259226133924022E-4</v>
      </c>
    </row>
    <row r="424" spans="1:11" x14ac:dyDescent="0.2">
      <c r="A424" s="500"/>
      <c r="B424" s="500"/>
      <c r="C424" s="500"/>
      <c r="D424" s="500"/>
      <c r="E424" s="535"/>
      <c r="F424" s="173" t="s">
        <v>300</v>
      </c>
      <c r="G424" s="178">
        <v>556.60243333785252</v>
      </c>
      <c r="H424" s="171">
        <v>56.923545535046735</v>
      </c>
      <c r="I424" s="175">
        <f t="shared" si="34"/>
        <v>1604.8170181707696</v>
      </c>
      <c r="J424" s="171">
        <f t="shared" si="32"/>
        <v>893.24505737584707</v>
      </c>
      <c r="K424" s="181">
        <f t="shared" si="33"/>
        <v>1.4157893553476051E-2</v>
      </c>
    </row>
    <row r="425" spans="1:11" x14ac:dyDescent="0.2">
      <c r="A425" s="500"/>
      <c r="B425" s="500"/>
      <c r="C425" s="500"/>
      <c r="D425" s="500"/>
      <c r="E425" s="535"/>
      <c r="F425" s="173" t="s">
        <v>301</v>
      </c>
      <c r="G425" s="178">
        <v>92.406511697955523</v>
      </c>
      <c r="H425" s="171">
        <v>110.49864721509073</v>
      </c>
      <c r="I425" s="175">
        <f t="shared" si="34"/>
        <v>7477.1546639909511</v>
      </c>
      <c r="J425" s="171">
        <f t="shared" si="32"/>
        <v>690.93777992550247</v>
      </c>
      <c r="K425" s="181">
        <f t="shared" si="33"/>
        <v>8.8569900186956704E-3</v>
      </c>
    </row>
    <row r="426" spans="1:11" x14ac:dyDescent="0.2">
      <c r="A426" s="500"/>
      <c r="B426" s="500"/>
      <c r="C426" s="500"/>
      <c r="D426" s="500"/>
      <c r="E426" s="535"/>
      <c r="F426" s="173" t="s">
        <v>302</v>
      </c>
      <c r="G426" s="178">
        <v>324.81352439649243</v>
      </c>
      <c r="H426" s="171">
        <v>115.67351499100407</v>
      </c>
      <c r="I426" s="175">
        <f t="shared" si="34"/>
        <v>8314.7833577945239</v>
      </c>
      <c r="J426" s="171">
        <f t="shared" si="32"/>
        <v>2700.7540870385405</v>
      </c>
      <c r="K426" s="181">
        <f t="shared" si="33"/>
        <v>3.411706210996783E-2</v>
      </c>
    </row>
    <row r="427" spans="1:11" x14ac:dyDescent="0.2">
      <c r="A427" s="500"/>
      <c r="B427" s="500"/>
      <c r="C427" s="500"/>
      <c r="D427" s="500"/>
      <c r="E427" s="535"/>
      <c r="F427" s="173" t="s">
        <v>303</v>
      </c>
      <c r="G427" s="178">
        <v>416.91098421585957</v>
      </c>
      <c r="H427" s="171">
        <v>114.45589904373035</v>
      </c>
      <c r="I427" s="175">
        <f t="shared" si="34"/>
        <v>8113.1367121903404</v>
      </c>
      <c r="J427" s="171">
        <f t="shared" si="32"/>
        <v>3382.4558117570978</v>
      </c>
      <c r="K427" s="181">
        <f t="shared" si="33"/>
        <v>4.2873541223017661E-2</v>
      </c>
    </row>
    <row r="428" spans="1:11" x14ac:dyDescent="0.2">
      <c r="A428" s="500"/>
      <c r="B428" s="500"/>
      <c r="C428" s="500"/>
      <c r="D428" s="500"/>
      <c r="E428" s="535"/>
      <c r="F428" s="173" t="s">
        <v>304</v>
      </c>
      <c r="G428" s="178">
        <v>46.048729909683523</v>
      </c>
      <c r="H428" s="171">
        <v>91.93000401916639</v>
      </c>
      <c r="I428" s="175">
        <f t="shared" si="34"/>
        <v>4879.430108104415</v>
      </c>
      <c r="J428" s="171">
        <f t="shared" si="32"/>
        <v>224.69155916127806</v>
      </c>
      <c r="K428" s="181">
        <f t="shared" si="33"/>
        <v>3.0549342755544022E-3</v>
      </c>
    </row>
    <row r="429" spans="1:11" x14ac:dyDescent="0.2">
      <c r="A429" s="500">
        <v>2</v>
      </c>
      <c r="B429" s="500"/>
      <c r="C429" s="500"/>
      <c r="D429" s="500" t="s">
        <v>35</v>
      </c>
      <c r="E429" s="535">
        <f>Assumptions!D62</f>
        <v>6772.8780000000015</v>
      </c>
      <c r="F429" s="179" t="s">
        <v>173</v>
      </c>
      <c r="G429" s="177">
        <v>76.953917768531525</v>
      </c>
      <c r="H429" s="171">
        <v>106.54139538645111</v>
      </c>
      <c r="I429" s="175">
        <f t="shared" si="34"/>
        <v>6870.5397543512127</v>
      </c>
      <c r="J429" s="171">
        <f t="shared" si="32"/>
        <v>528.71495128177003</v>
      </c>
      <c r="K429" s="181">
        <f t="shared" si="33"/>
        <v>6.857047416978514E-3</v>
      </c>
    </row>
    <row r="430" spans="1:11" x14ac:dyDescent="0.2">
      <c r="A430" s="500"/>
      <c r="B430" s="501"/>
      <c r="C430" s="501"/>
      <c r="D430" s="501"/>
      <c r="E430" s="535"/>
      <c r="F430" s="179" t="s">
        <v>170</v>
      </c>
      <c r="G430" s="177">
        <v>154.8349911728285</v>
      </c>
      <c r="H430" s="171">
        <v>73.056956836423623</v>
      </c>
      <c r="I430" s="175">
        <f t="shared" si="34"/>
        <v>2863.1432327367265</v>
      </c>
      <c r="J430" s="171">
        <f t="shared" si="32"/>
        <v>443.31475716733468</v>
      </c>
      <c r="K430" s="181">
        <f t="shared" si="33"/>
        <v>6.4872692907204065E-3</v>
      </c>
    </row>
    <row r="431" spans="1:11" x14ac:dyDescent="0.2">
      <c r="A431" s="500"/>
      <c r="B431" s="501"/>
      <c r="C431" s="501"/>
      <c r="D431" s="501"/>
      <c r="E431" s="535"/>
      <c r="F431" s="179" t="s">
        <v>171</v>
      </c>
      <c r="G431" s="177">
        <v>695.36672682408005</v>
      </c>
      <c r="H431" s="171">
        <v>100.45331565008246</v>
      </c>
      <c r="I431" s="175">
        <f t="shared" si="34"/>
        <v>5993.8426060024158</v>
      </c>
      <c r="J431" s="171">
        <f t="shared" si="32"/>
        <v>4167.9187140346139</v>
      </c>
      <c r="K431" s="181">
        <f t="shared" si="33"/>
        <v>5.5082306150156864E-2</v>
      </c>
    </row>
    <row r="432" spans="1:11" x14ac:dyDescent="0.2">
      <c r="A432" s="500"/>
      <c r="B432" s="501"/>
      <c r="C432" s="501"/>
      <c r="D432" s="501"/>
      <c r="E432" s="535"/>
      <c r="F432" s="179" t="s">
        <v>172</v>
      </c>
      <c r="G432" s="177">
        <v>394.04114520031203</v>
      </c>
      <c r="H432" s="171">
        <v>115.67351499100407</v>
      </c>
      <c r="I432" s="175">
        <f t="shared" si="34"/>
        <v>8314.7833577945239</v>
      </c>
      <c r="J432" s="171">
        <f t="shared" si="32"/>
        <v>3276.3667563978497</v>
      </c>
      <c r="K432" s="181">
        <f t="shared" si="33"/>
        <v>4.1388443568229301E-2</v>
      </c>
    </row>
    <row r="433" spans="1:11" x14ac:dyDescent="0.2">
      <c r="A433" s="500">
        <v>3</v>
      </c>
      <c r="B433" s="501"/>
      <c r="C433" s="501"/>
      <c r="D433" s="501" t="s">
        <v>35</v>
      </c>
      <c r="E433" s="535">
        <f>Assumptions!D63</f>
        <v>4319.8270000000002</v>
      </c>
      <c r="F433" s="179" t="s">
        <v>174</v>
      </c>
      <c r="G433" s="177">
        <v>92.715563576544</v>
      </c>
      <c r="H433" s="171">
        <v>223.7369303115473</v>
      </c>
      <c r="I433" s="175">
        <f t="shared" si="34"/>
        <v>38418.430668917194</v>
      </c>
      <c r="J433" s="171">
        <f t="shared" si="32"/>
        <v>3561.98645119504</v>
      </c>
      <c r="K433" s="181">
        <f t="shared" si="33"/>
        <v>3.6433227842018356E-2</v>
      </c>
    </row>
    <row r="434" spans="1:11" x14ac:dyDescent="0.2">
      <c r="A434" s="500"/>
      <c r="B434" s="501"/>
      <c r="C434" s="501"/>
      <c r="D434" s="501"/>
      <c r="E434" s="535"/>
      <c r="F434" s="179" t="s">
        <v>175</v>
      </c>
      <c r="G434" s="177">
        <v>46.357781788272</v>
      </c>
      <c r="H434" s="171">
        <v>54.792717627317714</v>
      </c>
      <c r="I434" s="175">
        <f t="shared" si="34"/>
        <v>1468.8762397355563</v>
      </c>
      <c r="J434" s="171">
        <f t="shared" si="32"/>
        <v>68.093844195638439</v>
      </c>
      <c r="K434" s="181">
        <f t="shared" si="33"/>
        <v>1.0925416095898886E-3</v>
      </c>
    </row>
    <row r="435" spans="1:11" x14ac:dyDescent="0.2">
      <c r="A435" s="500"/>
      <c r="B435" s="501"/>
      <c r="C435" s="501"/>
      <c r="D435" s="501"/>
      <c r="E435" s="535"/>
      <c r="F435" s="179" t="s">
        <v>176</v>
      </c>
      <c r="G435" s="177">
        <v>46.357781788272</v>
      </c>
      <c r="H435" s="171">
        <v>273.96358813658856</v>
      </c>
      <c r="I435" s="175">
        <f t="shared" si="34"/>
        <v>61460.433037612274</v>
      </c>
      <c r="J435" s="171">
        <f t="shared" si="32"/>
        <v>2849.1693433703326</v>
      </c>
      <c r="K435" s="181">
        <f t="shared" si="33"/>
        <v>2.7313540239747209E-2</v>
      </c>
    </row>
    <row r="436" spans="1:11" x14ac:dyDescent="0.2">
      <c r="A436" s="500"/>
      <c r="B436" s="501"/>
      <c r="C436" s="501"/>
      <c r="D436" s="501"/>
      <c r="E436" s="535"/>
      <c r="F436" s="179" t="s">
        <v>177</v>
      </c>
      <c r="G436" s="177">
        <v>46.357781788272</v>
      </c>
      <c r="H436" s="171">
        <v>173.5102724865061</v>
      </c>
      <c r="I436" s="175">
        <f t="shared" si="34"/>
        <v>21300.149867683584</v>
      </c>
      <c r="J436" s="171">
        <f t="shared" si="32"/>
        <v>987.42769962356624</v>
      </c>
      <c r="K436" s="181">
        <f t="shared" si="33"/>
        <v>1.095576447394305E-2</v>
      </c>
    </row>
    <row r="437" spans="1:11" x14ac:dyDescent="0.2">
      <c r="A437" s="500">
        <v>4</v>
      </c>
      <c r="B437" s="501"/>
      <c r="C437" s="501"/>
      <c r="D437" s="501" t="s">
        <v>34</v>
      </c>
      <c r="E437" s="535">
        <f>Assumptions!D64</f>
        <v>1612.0500000000002</v>
      </c>
      <c r="F437" s="173" t="s">
        <v>305</v>
      </c>
      <c r="G437" s="177">
        <v>741.724508612352</v>
      </c>
      <c r="H437" s="171">
        <v>63.924837231870669</v>
      </c>
      <c r="I437" s="175">
        <f t="shared" si="34"/>
        <v>2100.398781963122</v>
      </c>
      <c r="J437" s="171">
        <f t="shared" si="32"/>
        <v>1557.9172544415794</v>
      </c>
      <c r="K437" s="181">
        <f t="shared" si="33"/>
        <v>2.3793128386624236E-2</v>
      </c>
    </row>
    <row r="438" spans="1:11" x14ac:dyDescent="0.2">
      <c r="A438" s="500"/>
      <c r="B438" s="501"/>
      <c r="C438" s="501"/>
      <c r="D438" s="501"/>
      <c r="E438" s="535"/>
      <c r="F438" s="173" t="s">
        <v>306</v>
      </c>
      <c r="G438" s="177">
        <v>231.78890894135998</v>
      </c>
      <c r="H438" s="171">
        <v>50.226657825041229</v>
      </c>
      <c r="I438" s="175">
        <f t="shared" si="34"/>
        <v>1200.3716906704544</v>
      </c>
      <c r="J438" s="171">
        <f t="shared" si="32"/>
        <v>278.23284450460028</v>
      </c>
      <c r="K438" s="181">
        <f t="shared" si="33"/>
        <v>4.5901921791797378E-3</v>
      </c>
    </row>
    <row r="439" spans="1:11" x14ac:dyDescent="0.2">
      <c r="A439" s="500"/>
      <c r="B439" s="501"/>
      <c r="C439" s="501"/>
      <c r="D439" s="501"/>
      <c r="E439" s="535"/>
      <c r="F439" s="173" t="s">
        <v>307</v>
      </c>
      <c r="G439" s="177">
        <v>2364.2468712018717</v>
      </c>
      <c r="H439" s="171">
        <v>51.139869785496536</v>
      </c>
      <c r="I439" s="175">
        <f t="shared" si="34"/>
        <v>1251.6143321696022</v>
      </c>
      <c r="J439" s="171">
        <f t="shared" si="32"/>
        <v>2959.1252687834021</v>
      </c>
      <c r="K439" s="181">
        <f t="shared" si="33"/>
        <v>4.8537981908713446E-2</v>
      </c>
    </row>
    <row r="440" spans="1:11" ht="26" x14ac:dyDescent="0.2">
      <c r="A440" s="162">
        <v>5</v>
      </c>
      <c r="B440" s="170"/>
      <c r="C440" s="6"/>
      <c r="D440" s="6" t="s">
        <v>34</v>
      </c>
      <c r="E440" s="171">
        <f>Assumptions!D65</f>
        <v>353.58800000000002</v>
      </c>
      <c r="F440" s="173" t="s">
        <v>323</v>
      </c>
      <c r="G440" s="177">
        <v>0</v>
      </c>
      <c r="H440" s="171">
        <v>0</v>
      </c>
      <c r="I440" s="175">
        <v>0</v>
      </c>
      <c r="J440" s="171">
        <f t="shared" si="32"/>
        <v>0</v>
      </c>
      <c r="K440" s="181">
        <f t="shared" si="33"/>
        <v>0</v>
      </c>
    </row>
    <row r="441" spans="1:11" x14ac:dyDescent="0.2">
      <c r="A441" s="500">
        <v>6</v>
      </c>
      <c r="B441" s="501"/>
      <c r="C441" s="501"/>
      <c r="D441" s="501" t="s">
        <v>35</v>
      </c>
      <c r="E441" s="535">
        <f>Assumptions!D66</f>
        <v>4915.7929999999997</v>
      </c>
      <c r="F441" s="179" t="s">
        <v>178</v>
      </c>
      <c r="G441" s="177">
        <v>834.4400721888959</v>
      </c>
      <c r="H441" s="171">
        <v>80.577525922526036</v>
      </c>
      <c r="I441" s="175">
        <f t="shared" si="34"/>
        <v>3593.8879149420077</v>
      </c>
      <c r="J441" s="171">
        <f t="shared" si="32"/>
        <v>2998.8840911830093</v>
      </c>
      <c r="K441" s="181">
        <f t="shared" si="33"/>
        <v>4.2529733937322629E-2</v>
      </c>
    </row>
    <row r="442" spans="1:11" x14ac:dyDescent="0.2">
      <c r="A442" s="500"/>
      <c r="B442" s="501"/>
      <c r="C442" s="501"/>
      <c r="D442" s="501"/>
      <c r="E442" s="535"/>
      <c r="F442" s="179" t="s">
        <v>179</v>
      </c>
      <c r="G442" s="177">
        <v>556.29338145926408</v>
      </c>
      <c r="H442" s="171">
        <v>68.490897034147139</v>
      </c>
      <c r="I442" s="175">
        <f t="shared" si="34"/>
        <v>2464.9972323719476</v>
      </c>
      <c r="J442" s="171">
        <f t="shared" si="32"/>
        <v>1371.2616456839182</v>
      </c>
      <c r="K442" s="181">
        <f t="shared" si="33"/>
        <v>2.0485155179810408E-2</v>
      </c>
    </row>
    <row r="443" spans="1:11" x14ac:dyDescent="0.2">
      <c r="A443" s="500"/>
      <c r="B443" s="501"/>
      <c r="C443" s="501"/>
      <c r="D443" s="501"/>
      <c r="E443" s="535"/>
      <c r="F443" s="179" t="s">
        <v>175</v>
      </c>
      <c r="G443" s="177">
        <v>1390.7334536481601</v>
      </c>
      <c r="H443" s="171">
        <v>36.528478418211812</v>
      </c>
      <c r="I443" s="175">
        <f t="shared" si="34"/>
        <v>573.39444974249113</v>
      </c>
      <c r="J443" s="171">
        <f t="shared" si="32"/>
        <v>797.43884339306112</v>
      </c>
      <c r="K443" s="181">
        <f t="shared" si="33"/>
        <v>1.4567221461198517E-2</v>
      </c>
    </row>
    <row r="444" spans="1:11" x14ac:dyDescent="0.2">
      <c r="A444" s="500"/>
      <c r="B444" s="501"/>
      <c r="C444" s="501"/>
      <c r="D444" s="501"/>
      <c r="E444" s="535"/>
      <c r="F444" s="179" t="s">
        <v>180</v>
      </c>
      <c r="G444" s="177">
        <v>92.715563576544</v>
      </c>
      <c r="H444" s="171">
        <v>91.321196045529518</v>
      </c>
      <c r="I444" s="175">
        <f t="shared" si="34"/>
        <v>4804.7888267639792</v>
      </c>
      <c r="J444" s="171">
        <f t="shared" si="32"/>
        <v>445.47870393970402</v>
      </c>
      <c r="K444" s="181">
        <f t="shared" si="33"/>
        <v>6.0696756088327135E-3</v>
      </c>
    </row>
    <row r="445" spans="1:11" x14ac:dyDescent="0.2">
      <c r="A445" s="500"/>
      <c r="B445" s="501"/>
      <c r="C445" s="501"/>
      <c r="D445" s="501"/>
      <c r="E445" s="535"/>
      <c r="F445" s="179" t="s">
        <v>181</v>
      </c>
      <c r="G445" s="177">
        <v>92.715563576544</v>
      </c>
      <c r="H445" s="171">
        <v>146.11391367284725</v>
      </c>
      <c r="I445" s="175">
        <f t="shared" si="34"/>
        <v>14296.596653224691</v>
      </c>
      <c r="J445" s="171">
        <f t="shared" si="32"/>
        <v>1325.51701593026</v>
      </c>
      <c r="K445" s="181">
        <f t="shared" si="33"/>
        <v>1.553836955861175E-2</v>
      </c>
    </row>
    <row r="446" spans="1:11" ht="26" x14ac:dyDescent="0.2">
      <c r="A446" s="162">
        <v>7</v>
      </c>
      <c r="B446" s="170"/>
      <c r="C446" s="6"/>
      <c r="D446" s="6" t="s">
        <v>34</v>
      </c>
      <c r="E446" s="171">
        <f>Assumptions!D67</f>
        <v>2549.9479999999994</v>
      </c>
      <c r="F446" s="173" t="s">
        <v>323</v>
      </c>
      <c r="G446" s="177">
        <v>0</v>
      </c>
      <c r="H446" s="171">
        <v>0</v>
      </c>
      <c r="I446" s="175">
        <v>0</v>
      </c>
      <c r="J446" s="171">
        <f t="shared" si="32"/>
        <v>0</v>
      </c>
      <c r="K446" s="181">
        <f t="shared" si="33"/>
        <v>0</v>
      </c>
    </row>
    <row r="447" spans="1:11" x14ac:dyDescent="0.2">
      <c r="A447" s="162">
        <v>8</v>
      </c>
      <c r="B447" s="170"/>
      <c r="C447" s="6"/>
      <c r="D447" s="6" t="s">
        <v>36</v>
      </c>
      <c r="E447" s="171">
        <f>Assumptions!D68</f>
        <v>741.26900000000001</v>
      </c>
      <c r="F447" s="173" t="s">
        <v>323</v>
      </c>
      <c r="G447" s="177">
        <v>0</v>
      </c>
      <c r="H447" s="171">
        <v>0</v>
      </c>
      <c r="I447" s="175">
        <v>0</v>
      </c>
      <c r="J447" s="171">
        <f t="shared" si="32"/>
        <v>0</v>
      </c>
      <c r="K447" s="181">
        <f t="shared" si="33"/>
        <v>0</v>
      </c>
    </row>
    <row r="448" spans="1:11" x14ac:dyDescent="0.2">
      <c r="A448" s="500">
        <v>9</v>
      </c>
      <c r="B448" s="501"/>
      <c r="C448" s="501"/>
      <c r="D448" s="501" t="s">
        <v>35</v>
      </c>
      <c r="E448" s="535">
        <f>Assumptions!D69</f>
        <v>8643.7000000000025</v>
      </c>
      <c r="F448" s="179" t="s">
        <v>173</v>
      </c>
      <c r="G448" s="177">
        <v>324.50447251790399</v>
      </c>
      <c r="H448" s="171">
        <v>62.620248716934526</v>
      </c>
      <c r="I448" s="175">
        <f t="shared" si="34"/>
        <v>2002.2878996320439</v>
      </c>
      <c r="J448" s="171">
        <f t="shared" si="32"/>
        <v>649.75137869907837</v>
      </c>
      <c r="K448" s="181">
        <f t="shared" si="33"/>
        <v>9.9889518591075501E-3</v>
      </c>
    </row>
    <row r="449" spans="1:11" x14ac:dyDescent="0.2">
      <c r="A449" s="500"/>
      <c r="B449" s="501"/>
      <c r="C449" s="501"/>
      <c r="D449" s="501"/>
      <c r="E449" s="535"/>
      <c r="F449" s="179" t="s">
        <v>182</v>
      </c>
      <c r="G449" s="177">
        <v>324.50447251790399</v>
      </c>
      <c r="H449" s="171">
        <v>228.30299011382377</v>
      </c>
      <c r="I449" s="175">
        <f t="shared" si="34"/>
        <v>40261.979654954448</v>
      </c>
      <c r="J449" s="171">
        <f t="shared" si="32"/>
        <v>13065.192470457576</v>
      </c>
      <c r="K449" s="181">
        <f t="shared" si="33"/>
        <v>0.13277415394321557</v>
      </c>
    </row>
    <row r="450" spans="1:11" x14ac:dyDescent="0.2">
      <c r="A450" s="500"/>
      <c r="B450" s="501"/>
      <c r="C450" s="501"/>
      <c r="D450" s="501"/>
      <c r="E450" s="535"/>
      <c r="F450" s="179" t="s">
        <v>172</v>
      </c>
      <c r="G450" s="177">
        <v>324.50447251790399</v>
      </c>
      <c r="H450" s="171">
        <v>177.4240380313145</v>
      </c>
      <c r="I450" s="175">
        <f t="shared" si="34"/>
        <v>22431.438204618484</v>
      </c>
      <c r="J450" s="171">
        <f t="shared" si="32"/>
        <v>7279.102022407681</v>
      </c>
      <c r="K450" s="181">
        <f t="shared" si="33"/>
        <v>8.0189085757835621E-2</v>
      </c>
    </row>
    <row r="451" spans="1:11" x14ac:dyDescent="0.2">
      <c r="A451" s="500"/>
      <c r="B451" s="501"/>
      <c r="C451" s="501"/>
      <c r="D451" s="501"/>
      <c r="E451" s="535"/>
      <c r="F451" s="179" t="s">
        <v>183</v>
      </c>
      <c r="G451" s="177">
        <v>185.431127153088</v>
      </c>
      <c r="H451" s="171">
        <v>59.358777429594184</v>
      </c>
      <c r="I451" s="175">
        <f t="shared" si="34"/>
        <v>1768.6149523703066</v>
      </c>
      <c r="J451" s="171">
        <f t="shared" si="32"/>
        <v>327.95626411783104</v>
      </c>
      <c r="K451" s="181">
        <f t="shared" si="33"/>
        <v>5.1288758894636414E-3</v>
      </c>
    </row>
    <row r="452" spans="1:11" x14ac:dyDescent="0.2">
      <c r="A452" s="500"/>
      <c r="B452" s="501"/>
      <c r="C452" s="501"/>
      <c r="D452" s="501"/>
      <c r="E452" s="535"/>
      <c r="F452" s="179" t="s">
        <v>184</v>
      </c>
      <c r="G452" s="177">
        <v>92.715563576544</v>
      </c>
      <c r="H452" s="171">
        <v>191.77451169561201</v>
      </c>
      <c r="I452" s="175">
        <f t="shared" si="34"/>
        <v>26867.240860212649</v>
      </c>
      <c r="J452" s="171">
        <f t="shared" si="32"/>
        <v>2491.0113781013665</v>
      </c>
      <c r="K452" s="181">
        <f t="shared" si="33"/>
        <v>2.6767269434952268E-2</v>
      </c>
    </row>
    <row r="453" spans="1:11" x14ac:dyDescent="0.2">
      <c r="A453" s="500"/>
      <c r="B453" s="501"/>
      <c r="C453" s="501"/>
      <c r="D453" s="501"/>
      <c r="E453" s="535"/>
      <c r="F453" s="179" t="s">
        <v>185</v>
      </c>
      <c r="G453" s="177">
        <v>46.357781788272</v>
      </c>
      <c r="H453" s="171">
        <v>54.792717627317714</v>
      </c>
      <c r="I453" s="175">
        <f t="shared" si="34"/>
        <v>1468.8762397355563</v>
      </c>
      <c r="J453" s="171">
        <f t="shared" si="32"/>
        <v>68.093844195638439</v>
      </c>
      <c r="K453" s="181">
        <f t="shared" si="33"/>
        <v>1.0925416095898886E-3</v>
      </c>
    </row>
    <row r="454" spans="1:11" x14ac:dyDescent="0.2">
      <c r="A454" s="500"/>
      <c r="B454" s="501"/>
      <c r="C454" s="501"/>
      <c r="D454" s="501"/>
      <c r="E454" s="535"/>
      <c r="F454" s="179" t="s">
        <v>186</v>
      </c>
      <c r="G454" s="177">
        <v>139.07334536481602</v>
      </c>
      <c r="H454" s="171">
        <v>130.89371433192565</v>
      </c>
      <c r="I454" s="175">
        <f t="shared" si="34"/>
        <v>11076.43009448434</v>
      </c>
      <c r="J454" s="171">
        <f t="shared" si="32"/>
        <v>1540.4361879394623</v>
      </c>
      <c r="K454" s="181">
        <f t="shared" si="33"/>
        <v>1.8704717001219482E-2</v>
      </c>
    </row>
    <row r="455" spans="1:11" x14ac:dyDescent="0.2">
      <c r="A455" s="500"/>
      <c r="B455" s="501"/>
      <c r="C455" s="501"/>
      <c r="D455" s="501"/>
      <c r="E455" s="535"/>
      <c r="F455" s="179" t="s">
        <v>171</v>
      </c>
      <c r="G455" s="177">
        <v>185.431127153088</v>
      </c>
      <c r="H455" s="171">
        <v>324.19024596162978</v>
      </c>
      <c r="I455" s="175">
        <f t="shared" si="34"/>
        <v>90824.723419720642</v>
      </c>
      <c r="J455" s="171">
        <f t="shared" si="32"/>
        <v>16841.730837086267</v>
      </c>
      <c r="K455" s="181">
        <f t="shared" si="33"/>
        <v>0.15298617372062853</v>
      </c>
    </row>
    <row r="456" spans="1:11" x14ac:dyDescent="0.2">
      <c r="A456" s="500"/>
      <c r="B456" s="501"/>
      <c r="C456" s="501"/>
      <c r="D456" s="501"/>
      <c r="E456" s="535"/>
      <c r="F456" s="179" t="s">
        <v>187</v>
      </c>
      <c r="G456" s="177">
        <v>46.357781788272</v>
      </c>
      <c r="H456" s="171">
        <v>273.96358813658856</v>
      </c>
      <c r="I456" s="175">
        <f t="shared" si="34"/>
        <v>61460.433037612274</v>
      </c>
      <c r="J456" s="171">
        <f t="shared" si="32"/>
        <v>2849.1693433703326</v>
      </c>
      <c r="K456" s="181">
        <f t="shared" si="33"/>
        <v>2.7313540239747209E-2</v>
      </c>
    </row>
    <row r="457" spans="1:11" x14ac:dyDescent="0.2">
      <c r="A457" s="500"/>
      <c r="B457" s="501"/>
      <c r="C457" s="501"/>
      <c r="D457" s="501"/>
      <c r="E457" s="535"/>
      <c r="F457" s="179" t="s">
        <v>188</v>
      </c>
      <c r="G457" s="177">
        <v>185.431127153088</v>
      </c>
      <c r="H457" s="171">
        <v>223.7369303115473</v>
      </c>
      <c r="I457" s="175">
        <f t="shared" si="34"/>
        <v>38418.430668917194</v>
      </c>
      <c r="J457" s="171">
        <f t="shared" si="32"/>
        <v>7123.97290239008</v>
      </c>
      <c r="K457" s="181">
        <f t="shared" si="33"/>
        <v>7.2866455684036713E-2</v>
      </c>
    </row>
    <row r="458" spans="1:11" x14ac:dyDescent="0.2">
      <c r="A458" s="500">
        <v>10</v>
      </c>
      <c r="B458" s="501"/>
      <c r="C458" s="501"/>
      <c r="D458" s="501" t="s">
        <v>35</v>
      </c>
      <c r="E458" s="535">
        <f>Assumptions!D70</f>
        <v>2860.4270000000001</v>
      </c>
      <c r="F458" s="179" t="s">
        <v>189</v>
      </c>
      <c r="G458" s="177">
        <v>92.715563576544</v>
      </c>
      <c r="H458" s="171">
        <v>73.056956836423623</v>
      </c>
      <c r="I458" s="175">
        <f t="shared" si="34"/>
        <v>2863.1432327367265</v>
      </c>
      <c r="J458" s="171">
        <f t="shared" si="32"/>
        <v>265.45793842355363</v>
      </c>
      <c r="K458" s="181">
        <f t="shared" si="33"/>
        <v>3.8845923896529376E-3</v>
      </c>
    </row>
    <row r="459" spans="1:11" x14ac:dyDescent="0.2">
      <c r="A459" s="500"/>
      <c r="B459" s="501"/>
      <c r="C459" s="501"/>
      <c r="D459" s="501"/>
      <c r="E459" s="535"/>
      <c r="F459" s="179" t="s">
        <v>190</v>
      </c>
      <c r="G459" s="177">
        <v>741.724508612352</v>
      </c>
      <c r="H459" s="171">
        <v>63.924837231870669</v>
      </c>
      <c r="I459" s="175">
        <f t="shared" si="34"/>
        <v>2100.398781963122</v>
      </c>
      <c r="J459" s="171">
        <f t="shared" si="32"/>
        <v>1557.9172544415794</v>
      </c>
      <c r="K459" s="181">
        <f t="shared" si="33"/>
        <v>2.3793128386624236E-2</v>
      </c>
    </row>
    <row r="460" spans="1:11" x14ac:dyDescent="0.2">
      <c r="A460" s="500"/>
      <c r="B460" s="501"/>
      <c r="C460" s="501"/>
      <c r="D460" s="501"/>
      <c r="E460" s="535"/>
      <c r="F460" s="179" t="s">
        <v>191</v>
      </c>
      <c r="G460" s="177">
        <v>92.715563576544</v>
      </c>
      <c r="H460" s="171">
        <v>54.792717627317714</v>
      </c>
      <c r="I460" s="175">
        <f t="shared" si="34"/>
        <v>1468.8762397355563</v>
      </c>
      <c r="J460" s="171">
        <f t="shared" si="32"/>
        <v>136.18768839127688</v>
      </c>
      <c r="K460" s="181">
        <f t="shared" si="33"/>
        <v>2.1850832191797772E-3</v>
      </c>
    </row>
    <row r="461" spans="1:11" x14ac:dyDescent="0.2">
      <c r="A461" s="500"/>
      <c r="B461" s="501"/>
      <c r="C461" s="501"/>
      <c r="D461" s="501"/>
      <c r="E461" s="535"/>
      <c r="F461" s="179" t="s">
        <v>171</v>
      </c>
      <c r="G461" s="177">
        <v>370.862254306176</v>
      </c>
      <c r="H461" s="171">
        <v>95.887255847806003</v>
      </c>
      <c r="I461" s="175">
        <f t="shared" si="34"/>
        <v>5380.6343367653599</v>
      </c>
      <c r="J461" s="171">
        <f t="shared" si="32"/>
        <v>1995.4741797300173</v>
      </c>
      <c r="K461" s="181">
        <f t="shared" si="33"/>
        <v>2.6767269434952268E-2</v>
      </c>
    </row>
    <row r="462" spans="1:11" x14ac:dyDescent="0.2">
      <c r="A462" s="500"/>
      <c r="B462" s="501"/>
      <c r="C462" s="501"/>
      <c r="D462" s="501"/>
      <c r="E462" s="535"/>
      <c r="F462" s="179" t="s">
        <v>188</v>
      </c>
      <c r="G462" s="177">
        <v>92.715563576544</v>
      </c>
      <c r="H462" s="171">
        <v>164.37815288195313</v>
      </c>
      <c r="I462" s="175">
        <f t="shared" si="34"/>
        <v>18789.123315875022</v>
      </c>
      <c r="J462" s="171">
        <f t="shared" si="32"/>
        <v>1742.044157340536</v>
      </c>
      <c r="K462" s="181">
        <f t="shared" si="33"/>
        <v>1.966574897261799E-2</v>
      </c>
    </row>
    <row r="463" spans="1:11" x14ac:dyDescent="0.2">
      <c r="A463" s="500">
        <v>11</v>
      </c>
      <c r="B463" s="501"/>
      <c r="C463" s="501"/>
      <c r="D463" s="501" t="s">
        <v>35</v>
      </c>
      <c r="E463" s="535">
        <f>Assumptions!D71</f>
        <v>9034.3230000000021</v>
      </c>
      <c r="F463" s="170" t="s">
        <v>192</v>
      </c>
      <c r="G463" s="177">
        <v>695.36672682408005</v>
      </c>
      <c r="H463" s="171">
        <v>76.862006671654044</v>
      </c>
      <c r="I463" s="175">
        <f t="shared" si="34"/>
        <v>3221.0643506841893</v>
      </c>
      <c r="J463" s="171">
        <f t="shared" si="32"/>
        <v>2239.8209744249953</v>
      </c>
      <c r="K463" s="181">
        <f t="shared" si="33"/>
        <v>3.224831296130342E-2</v>
      </c>
    </row>
    <row r="464" spans="1:11" x14ac:dyDescent="0.2">
      <c r="A464" s="500"/>
      <c r="B464" s="501"/>
      <c r="C464" s="501"/>
      <c r="D464" s="501"/>
      <c r="E464" s="535"/>
      <c r="F464" s="170" t="s">
        <v>193</v>
      </c>
      <c r="G464" s="177">
        <v>347.68336341204002</v>
      </c>
      <c r="H464" s="171">
        <v>42.616558154580446</v>
      </c>
      <c r="I464" s="175">
        <f t="shared" si="34"/>
        <v>819.91727501859702</v>
      </c>
      <c r="J464" s="171">
        <f t="shared" si="32"/>
        <v>285.07159589810038</v>
      </c>
      <c r="K464" s="181">
        <f t="shared" si="33"/>
        <v>4.9569017472133837E-3</v>
      </c>
    </row>
    <row r="465" spans="1:11" x14ac:dyDescent="0.2">
      <c r="A465" s="500"/>
      <c r="B465" s="501"/>
      <c r="C465" s="501"/>
      <c r="D465" s="501"/>
      <c r="E465" s="535"/>
      <c r="F465" s="170" t="s">
        <v>190</v>
      </c>
      <c r="G465" s="177">
        <v>347.68336341204002</v>
      </c>
      <c r="H465" s="171">
        <v>118.71755485918837</v>
      </c>
      <c r="I465" s="175">
        <f t="shared" si="34"/>
        <v>8831.2642971520909</v>
      </c>
      <c r="J465" s="171">
        <f t="shared" si="32"/>
        <v>3070.4836740145047</v>
      </c>
      <c r="K465" s="181">
        <f t="shared" si="33"/>
        <v>3.8466569170977315E-2</v>
      </c>
    </row>
    <row r="466" spans="1:11" x14ac:dyDescent="0.2">
      <c r="A466" s="500"/>
      <c r="B466" s="501"/>
      <c r="C466" s="501"/>
      <c r="D466" s="501"/>
      <c r="E466" s="535"/>
      <c r="F466" s="170" t="s">
        <v>186</v>
      </c>
      <c r="G466" s="177">
        <v>347.68336341204002</v>
      </c>
      <c r="H466" s="171">
        <v>60.880797363686341</v>
      </c>
      <c r="I466" s="175">
        <f t="shared" si="34"/>
        <v>1875.6101916027997</v>
      </c>
      <c r="J466" s="171">
        <f t="shared" si="32"/>
        <v>652.11845986636217</v>
      </c>
      <c r="K466" s="181">
        <f t="shared" si="33"/>
        <v>1.0116126014721187E-2</v>
      </c>
    </row>
    <row r="467" spans="1:11" x14ac:dyDescent="0.2">
      <c r="A467" s="500"/>
      <c r="B467" s="501"/>
      <c r="C467" s="501"/>
      <c r="D467" s="501"/>
      <c r="E467" s="535"/>
      <c r="F467" s="170" t="s">
        <v>194</v>
      </c>
      <c r="G467" s="177">
        <v>1043.0500902361198</v>
      </c>
      <c r="H467" s="171">
        <v>145.09923371678582</v>
      </c>
      <c r="I467" s="175">
        <f t="shared" si="34"/>
        <v>14067.317510872293</v>
      </c>
      <c r="J467" s="171">
        <f t="shared" si="32"/>
        <v>14672.916799095492</v>
      </c>
      <c r="K467" s="181">
        <f t="shared" si="33"/>
        <v>0.17238721739586133</v>
      </c>
    </row>
    <row r="468" spans="1:11" x14ac:dyDescent="0.2">
      <c r="A468" s="500"/>
      <c r="B468" s="501"/>
      <c r="C468" s="501"/>
      <c r="D468" s="501"/>
      <c r="E468" s="535"/>
      <c r="F468" s="170" t="s">
        <v>195</v>
      </c>
      <c r="G468" s="177">
        <v>115.89445447067999</v>
      </c>
      <c r="H468" s="171">
        <v>45.660598022764759</v>
      </c>
      <c r="I468" s="175">
        <f t="shared" si="34"/>
        <v>962.2428993249531</v>
      </c>
      <c r="J468" s="171">
        <f t="shared" si="32"/>
        <v>111.51861588555089</v>
      </c>
      <c r="K468" s="181">
        <f t="shared" si="33"/>
        <v>1.8967736277602227E-3</v>
      </c>
    </row>
    <row r="469" spans="1:11" x14ac:dyDescent="0.2">
      <c r="A469" s="500"/>
      <c r="B469" s="501"/>
      <c r="C469" s="501"/>
      <c r="D469" s="501"/>
      <c r="E469" s="535"/>
      <c r="F469" s="170" t="s">
        <v>196</v>
      </c>
      <c r="G469" s="177">
        <v>115.89445447067999</v>
      </c>
      <c r="H469" s="171">
        <v>136.98179406829428</v>
      </c>
      <c r="I469" s="175">
        <f t="shared" si="34"/>
        <v>12308.525392511308</v>
      </c>
      <c r="J469" s="171">
        <f t="shared" si="32"/>
        <v>1426.4898357036104</v>
      </c>
      <c r="K469" s="181">
        <f t="shared" si="33"/>
        <v>1.7070962649842002E-2</v>
      </c>
    </row>
    <row r="470" spans="1:11" x14ac:dyDescent="0.2">
      <c r="A470" s="500"/>
      <c r="B470" s="501"/>
      <c r="C470" s="501"/>
      <c r="D470" s="501"/>
      <c r="E470" s="535"/>
      <c r="F470" s="170" t="s">
        <v>197</v>
      </c>
      <c r="G470" s="177">
        <v>115.89445447067999</v>
      </c>
      <c r="H470" s="171">
        <v>91.321196045529518</v>
      </c>
      <c r="I470" s="175">
        <f t="shared" si="34"/>
        <v>4804.7888267639792</v>
      </c>
      <c r="J470" s="171">
        <f t="shared" si="32"/>
        <v>556.84837992462997</v>
      </c>
      <c r="K470" s="181">
        <f t="shared" si="33"/>
        <v>7.587094511040891E-3</v>
      </c>
    </row>
    <row r="471" spans="1:11" x14ac:dyDescent="0.2">
      <c r="A471" s="500"/>
      <c r="B471" s="501"/>
      <c r="C471" s="501"/>
      <c r="D471" s="501"/>
      <c r="E471" s="535"/>
      <c r="F471" s="179" t="s">
        <v>182</v>
      </c>
      <c r="G471" s="177">
        <v>313.37860488871866</v>
      </c>
      <c r="H471" s="171">
        <v>255.69934892748267</v>
      </c>
      <c r="I471" s="175">
        <f t="shared" si="34"/>
        <v>52369.802690166987</v>
      </c>
      <c r="J471" s="171">
        <f t="shared" si="32"/>
        <v>16411.575705341995</v>
      </c>
      <c r="K471" s="181">
        <f t="shared" si="33"/>
        <v>0.16084154789357979</v>
      </c>
    </row>
    <row r="472" spans="1:11" x14ac:dyDescent="0.2">
      <c r="A472" s="500"/>
      <c r="B472" s="501"/>
      <c r="C472" s="501"/>
      <c r="D472" s="501"/>
      <c r="E472" s="535"/>
      <c r="F472" s="179" t="s">
        <v>187</v>
      </c>
      <c r="G472" s="177">
        <v>115.89445447067999</v>
      </c>
      <c r="H472" s="171">
        <v>547.92717627317711</v>
      </c>
      <c r="I472" s="175">
        <f t="shared" si="34"/>
        <v>306891.7444382931</v>
      </c>
      <c r="J472" s="171">
        <f t="shared" si="32"/>
        <v>35567.051303231325</v>
      </c>
      <c r="K472" s="181">
        <f t="shared" si="33"/>
        <v>0.27313540239747203</v>
      </c>
    </row>
    <row r="473" spans="1:11" x14ac:dyDescent="0.2">
      <c r="A473" s="500"/>
      <c r="B473" s="501"/>
      <c r="C473" s="501"/>
      <c r="D473" s="501"/>
      <c r="E473" s="535"/>
      <c r="F473" s="170" t="s">
        <v>198</v>
      </c>
      <c r="G473" s="177">
        <v>46.357781788272</v>
      </c>
      <c r="H473" s="171">
        <v>182.64239209105904</v>
      </c>
      <c r="I473" s="175">
        <f t="shared" si="34"/>
        <v>23991.858693882437</v>
      </c>
      <c r="J473" s="171">
        <f t="shared" si="32"/>
        <v>1112.2093500260585</v>
      </c>
      <c r="K473" s="181">
        <f t="shared" si="33"/>
        <v>1.2139351217665427E-2</v>
      </c>
    </row>
    <row r="474" spans="1:11" x14ac:dyDescent="0.2">
      <c r="A474" s="500"/>
      <c r="B474" s="501"/>
      <c r="C474" s="501"/>
      <c r="D474" s="501"/>
      <c r="E474" s="535"/>
      <c r="F474" s="170" t="s">
        <v>173</v>
      </c>
      <c r="G474" s="177">
        <v>46.357781788272</v>
      </c>
      <c r="H474" s="171">
        <v>54.792717627317714</v>
      </c>
      <c r="I474" s="175">
        <f t="shared" si="34"/>
        <v>1468.8762397355563</v>
      </c>
      <c r="J474" s="171">
        <f t="shared" si="32"/>
        <v>68.093844195638439</v>
      </c>
      <c r="K474" s="181">
        <f t="shared" si="33"/>
        <v>1.0925416095898886E-3</v>
      </c>
    </row>
    <row r="475" spans="1:11" x14ac:dyDescent="0.2">
      <c r="A475" s="500"/>
      <c r="B475" s="501"/>
      <c r="C475" s="501"/>
      <c r="D475" s="501"/>
      <c r="E475" s="535"/>
      <c r="F475" s="170" t="s">
        <v>199</v>
      </c>
      <c r="G475" s="177">
        <v>185.431127153088</v>
      </c>
      <c r="H475" s="171">
        <v>132.41573426601781</v>
      </c>
      <c r="I475" s="175">
        <f t="shared" si="34"/>
        <v>11377.532116757871</v>
      </c>
      <c r="J475" s="171">
        <f t="shared" si="32"/>
        <v>2109.7486046308713</v>
      </c>
      <c r="K475" s="181">
        <f t="shared" si="33"/>
        <v>2.5522985935141563E-2</v>
      </c>
    </row>
    <row r="476" spans="1:11" x14ac:dyDescent="0.2">
      <c r="A476" s="500"/>
      <c r="B476" s="501"/>
      <c r="C476" s="501"/>
      <c r="D476" s="501"/>
      <c r="E476" s="535"/>
      <c r="F476" s="170" t="s">
        <v>172</v>
      </c>
      <c r="G476" s="177">
        <v>78</v>
      </c>
      <c r="H476" s="171">
        <v>616.41807330732399</v>
      </c>
      <c r="I476" s="175">
        <f t="shared" si="34"/>
        <v>403328.6362299709</v>
      </c>
      <c r="J476" s="171">
        <f t="shared" si="32"/>
        <v>31459.633625937731</v>
      </c>
      <c r="K476" s="181">
        <f t="shared" si="33"/>
        <v>0.23265639092547702</v>
      </c>
    </row>
    <row r="477" spans="1:11" x14ac:dyDescent="0.2">
      <c r="A477" s="162">
        <v>12</v>
      </c>
      <c r="B477" s="75"/>
      <c r="C477" s="75"/>
      <c r="D477" s="75" t="s">
        <v>37</v>
      </c>
      <c r="E477" s="481">
        <f>Assumptions!D72</f>
        <v>2315.3180000000002</v>
      </c>
      <c r="F477" s="170" t="s">
        <v>323</v>
      </c>
      <c r="G477" s="177">
        <v>0</v>
      </c>
      <c r="H477" s="171">
        <v>0</v>
      </c>
      <c r="I477" s="175">
        <v>0</v>
      </c>
      <c r="J477" s="171">
        <f t="shared" si="32"/>
        <v>0</v>
      </c>
      <c r="K477" s="181">
        <f t="shared" si="33"/>
        <v>0</v>
      </c>
    </row>
    <row r="478" spans="1:11" x14ac:dyDescent="0.2">
      <c r="A478" s="500">
        <v>13</v>
      </c>
      <c r="B478" s="501"/>
      <c r="C478" s="501"/>
      <c r="D478" s="501" t="s">
        <v>35</v>
      </c>
      <c r="E478" s="535">
        <f>Assumptions!D73</f>
        <v>5717.201</v>
      </c>
      <c r="F478" s="179" t="s">
        <v>188</v>
      </c>
      <c r="G478" s="177">
        <v>46.357781788272</v>
      </c>
      <c r="H478" s="171">
        <v>173.5102724865061</v>
      </c>
      <c r="I478" s="175">
        <f t="shared" si="34"/>
        <v>21300.149867683584</v>
      </c>
      <c r="J478" s="171">
        <f t="shared" si="32"/>
        <v>987.42769962356624</v>
      </c>
      <c r="K478" s="181">
        <f t="shared" si="33"/>
        <v>1.095576447394305E-2</v>
      </c>
    </row>
    <row r="479" spans="1:11" x14ac:dyDescent="0.2">
      <c r="A479" s="500"/>
      <c r="B479" s="501"/>
      <c r="C479" s="501"/>
      <c r="D479" s="501"/>
      <c r="E479" s="535"/>
      <c r="F479" s="179" t="s">
        <v>182</v>
      </c>
      <c r="G479" s="177">
        <v>46.357781788272</v>
      </c>
      <c r="H479" s="171">
        <v>182.64239209105904</v>
      </c>
      <c r="I479" s="175">
        <f t="shared" si="34"/>
        <v>23991.858693882437</v>
      </c>
      <c r="J479" s="171">
        <f t="shared" si="32"/>
        <v>1112.2093500260585</v>
      </c>
      <c r="K479" s="181">
        <f t="shared" si="33"/>
        <v>1.2139351217665427E-2</v>
      </c>
    </row>
    <row r="480" spans="1:11" x14ac:dyDescent="0.2">
      <c r="A480" s="500"/>
      <c r="B480" s="501"/>
      <c r="C480" s="501"/>
      <c r="D480" s="501"/>
      <c r="E480" s="535"/>
      <c r="F480" s="179" t="s">
        <v>171</v>
      </c>
      <c r="G480" s="177">
        <v>139.07334536481602</v>
      </c>
      <c r="H480" s="171">
        <v>286.13974760932587</v>
      </c>
      <c r="I480" s="175">
        <f t="shared" si="34"/>
        <v>67984.454056448332</v>
      </c>
      <c r="J480" s="171">
        <f t="shared" ref="J480:J515" si="35">(I480*G480)/1000</f>
        <v>9454.825458430907</v>
      </c>
      <c r="K480" s="181">
        <f t="shared" ref="K480:K515" si="36">0.00000001*3.14*(H480/2)^2*G480</f>
        <v>8.9386089466076471E-2</v>
      </c>
    </row>
    <row r="481" spans="1:11" x14ac:dyDescent="0.2">
      <c r="A481" s="500"/>
      <c r="B481" s="501"/>
      <c r="C481" s="501"/>
      <c r="D481" s="501"/>
      <c r="E481" s="535"/>
      <c r="F481" s="179" t="s">
        <v>172</v>
      </c>
      <c r="G481" s="177">
        <v>556.29338145926408</v>
      </c>
      <c r="H481" s="171">
        <v>261.02641869680519</v>
      </c>
      <c r="I481" s="175">
        <f t="shared" ref="I481:I515" si="37">EXP(-1.996+2.32*LN(H481))</f>
        <v>54935.890988648323</v>
      </c>
      <c r="J481" s="171">
        <f t="shared" si="35"/>
        <v>30560.472561552688</v>
      </c>
      <c r="K481" s="181">
        <f t="shared" si="36"/>
        <v>0.29753802737648327</v>
      </c>
    </row>
    <row r="482" spans="1:11" x14ac:dyDescent="0.2">
      <c r="A482" s="500">
        <v>14</v>
      </c>
      <c r="B482" s="501"/>
      <c r="C482" s="501"/>
      <c r="D482" s="501" t="s">
        <v>35</v>
      </c>
      <c r="E482" s="535">
        <f>Assumptions!D74</f>
        <v>3768.0449999999996</v>
      </c>
      <c r="F482" s="179" t="s">
        <v>201</v>
      </c>
      <c r="G482" s="177">
        <v>92.715563576544</v>
      </c>
      <c r="H482" s="171">
        <v>91.321196045529518</v>
      </c>
      <c r="I482" s="175">
        <f t="shared" si="37"/>
        <v>4804.7888267639792</v>
      </c>
      <c r="J482" s="171">
        <f t="shared" si="35"/>
        <v>445.47870393970402</v>
      </c>
      <c r="K482" s="181">
        <f t="shared" si="36"/>
        <v>6.0696756088327135E-3</v>
      </c>
    </row>
    <row r="483" spans="1:11" x14ac:dyDescent="0.2">
      <c r="A483" s="500"/>
      <c r="B483" s="501"/>
      <c r="C483" s="501"/>
      <c r="D483" s="501"/>
      <c r="E483" s="535"/>
      <c r="F483" s="179" t="s">
        <v>200</v>
      </c>
      <c r="G483" s="177">
        <v>1483.449017224704</v>
      </c>
      <c r="H483" s="171">
        <v>64.495594707155234</v>
      </c>
      <c r="I483" s="175">
        <f t="shared" si="37"/>
        <v>2144.1636742196979</v>
      </c>
      <c r="J483" s="171">
        <f t="shared" si="35"/>
        <v>3180.7574952901209</v>
      </c>
      <c r="K483" s="181">
        <f t="shared" si="36"/>
        <v>4.843980490574059E-2</v>
      </c>
    </row>
    <row r="484" spans="1:11" x14ac:dyDescent="0.2">
      <c r="A484" s="500"/>
      <c r="B484" s="501"/>
      <c r="C484" s="501"/>
      <c r="D484" s="501"/>
      <c r="E484" s="535"/>
      <c r="F484" s="179" t="s">
        <v>171</v>
      </c>
      <c r="G484" s="177">
        <v>370.862254306176</v>
      </c>
      <c r="H484" s="171">
        <v>114.15149505691188</v>
      </c>
      <c r="I484" s="175">
        <f t="shared" si="37"/>
        <v>8063.1647784275538</v>
      </c>
      <c r="J484" s="171">
        <f t="shared" si="35"/>
        <v>2990.323466569801</v>
      </c>
      <c r="K484" s="181">
        <f t="shared" si="36"/>
        <v>3.793547255520445E-2</v>
      </c>
    </row>
    <row r="485" spans="1:11" x14ac:dyDescent="0.2">
      <c r="A485" s="500">
        <v>15</v>
      </c>
      <c r="B485" s="501"/>
      <c r="C485" s="501"/>
      <c r="D485" s="501" t="s">
        <v>34</v>
      </c>
      <c r="E485" s="535">
        <f>Assumptions!D75</f>
        <v>236.66199999999998</v>
      </c>
      <c r="F485" s="179" t="s">
        <v>292</v>
      </c>
      <c r="G485" s="177">
        <v>50.993559967099195</v>
      </c>
      <c r="H485" s="171">
        <v>73.056956836423623</v>
      </c>
      <c r="I485" s="175">
        <f t="shared" si="37"/>
        <v>2863.1432327367265</v>
      </c>
      <c r="J485" s="171">
        <f t="shared" si="35"/>
        <v>146.00186613295452</v>
      </c>
      <c r="K485" s="181">
        <f t="shared" si="36"/>
        <v>2.1365258143091156E-3</v>
      </c>
    </row>
    <row r="486" spans="1:11" x14ac:dyDescent="0.2">
      <c r="A486" s="500"/>
      <c r="B486" s="501"/>
      <c r="C486" s="501"/>
      <c r="D486" s="501"/>
      <c r="E486" s="535"/>
      <c r="F486" s="179" t="s">
        <v>293</v>
      </c>
      <c r="G486" s="177">
        <v>122.38454392103807</v>
      </c>
      <c r="H486" s="171">
        <v>284.9221316620521</v>
      </c>
      <c r="I486" s="175">
        <f t="shared" si="37"/>
        <v>67315.17250208318</v>
      </c>
      <c r="J486" s="171">
        <f t="shared" si="35"/>
        <v>8238.3366856334542</v>
      </c>
      <c r="K486" s="181">
        <f t="shared" si="36"/>
        <v>7.7991738325539933E-2</v>
      </c>
    </row>
    <row r="487" spans="1:11" x14ac:dyDescent="0.2">
      <c r="A487" s="162">
        <v>16</v>
      </c>
      <c r="B487" s="170"/>
      <c r="C487" s="170"/>
      <c r="D487" s="170" t="s">
        <v>35</v>
      </c>
      <c r="E487" s="171">
        <f>Assumptions!D76</f>
        <v>6640.8160000000016</v>
      </c>
      <c r="F487" s="179" t="s">
        <v>323</v>
      </c>
      <c r="G487" s="177">
        <v>0</v>
      </c>
      <c r="H487" s="171">
        <v>0</v>
      </c>
      <c r="I487" s="175">
        <v>0</v>
      </c>
      <c r="J487" s="171">
        <f t="shared" si="35"/>
        <v>0</v>
      </c>
      <c r="K487" s="181">
        <f t="shared" si="36"/>
        <v>0</v>
      </c>
    </row>
    <row r="488" spans="1:11" x14ac:dyDescent="0.2">
      <c r="A488" s="162">
        <v>17</v>
      </c>
      <c r="B488" s="75"/>
      <c r="C488" s="75"/>
      <c r="D488" s="75" t="s">
        <v>36</v>
      </c>
      <c r="E488" s="481">
        <f>Assumptions!D77</f>
        <v>837.08299999999997</v>
      </c>
      <c r="F488" s="179" t="s">
        <v>323</v>
      </c>
      <c r="G488" s="177">
        <v>0</v>
      </c>
      <c r="H488" s="171">
        <v>0</v>
      </c>
      <c r="I488" s="175">
        <v>0</v>
      </c>
      <c r="J488" s="171">
        <f t="shared" si="35"/>
        <v>0</v>
      </c>
      <c r="K488" s="181">
        <f t="shared" si="36"/>
        <v>0</v>
      </c>
    </row>
    <row r="489" spans="1:11" x14ac:dyDescent="0.2">
      <c r="A489" s="500">
        <v>18</v>
      </c>
      <c r="B489" s="501"/>
      <c r="C489" s="501"/>
      <c r="D489" s="501" t="s">
        <v>34</v>
      </c>
      <c r="E489" s="535">
        <f>Assumptions!D78</f>
        <v>1849.3409999999997</v>
      </c>
      <c r="F489" s="173" t="s">
        <v>308</v>
      </c>
      <c r="G489" s="178">
        <v>927.15563576543991</v>
      </c>
      <c r="H489" s="171">
        <v>60.271989390049484</v>
      </c>
      <c r="I489" s="175">
        <f t="shared" si="37"/>
        <v>1832.3829217279515</v>
      </c>
      <c r="J489" s="171">
        <f t="shared" si="35"/>
        <v>1698.9041527604134</v>
      </c>
      <c r="K489" s="181">
        <f t="shared" si="36"/>
        <v>2.6439506952075295E-2</v>
      </c>
    </row>
    <row r="490" spans="1:11" x14ac:dyDescent="0.2">
      <c r="A490" s="500"/>
      <c r="B490" s="501"/>
      <c r="C490" s="501"/>
      <c r="D490" s="501"/>
      <c r="E490" s="535"/>
      <c r="F490" s="173" t="s">
        <v>309</v>
      </c>
      <c r="G490" s="178">
        <v>231.78890894135998</v>
      </c>
      <c r="H490" s="171">
        <v>69.404108994602439</v>
      </c>
      <c r="I490" s="175">
        <f t="shared" si="37"/>
        <v>2541.9197707048302</v>
      </c>
      <c r="J490" s="171">
        <f t="shared" si="35"/>
        <v>589.18881026814449</v>
      </c>
      <c r="K490" s="181">
        <f t="shared" si="36"/>
        <v>8.7646115791544382E-3</v>
      </c>
    </row>
    <row r="491" spans="1:11" x14ac:dyDescent="0.2">
      <c r="A491" s="500"/>
      <c r="B491" s="501"/>
      <c r="C491" s="501"/>
      <c r="D491" s="501"/>
      <c r="E491" s="535"/>
      <c r="F491" s="173" t="s">
        <v>310</v>
      </c>
      <c r="G491" s="178">
        <v>46.357781788272</v>
      </c>
      <c r="H491" s="171">
        <v>73.056956836423623</v>
      </c>
      <c r="I491" s="175">
        <f t="shared" si="37"/>
        <v>2863.1432327367265</v>
      </c>
      <c r="J491" s="171">
        <f t="shared" si="35"/>
        <v>132.72896921177681</v>
      </c>
      <c r="K491" s="181">
        <f t="shared" si="36"/>
        <v>1.9422961948264688E-3</v>
      </c>
    </row>
    <row r="492" spans="1:11" x14ac:dyDescent="0.2">
      <c r="A492" s="500"/>
      <c r="B492" s="501"/>
      <c r="C492" s="501"/>
      <c r="D492" s="501"/>
      <c r="E492" s="535"/>
      <c r="F492" s="173" t="s">
        <v>185</v>
      </c>
      <c r="G492" s="178">
        <v>46.357781788272</v>
      </c>
      <c r="H492" s="171">
        <v>91.321196045529518</v>
      </c>
      <c r="I492" s="175">
        <f t="shared" si="37"/>
        <v>4804.7888267639792</v>
      </c>
      <c r="J492" s="171">
        <f t="shared" si="35"/>
        <v>222.73935196985201</v>
      </c>
      <c r="K492" s="181">
        <f t="shared" si="36"/>
        <v>3.0348378044163567E-3</v>
      </c>
    </row>
    <row r="493" spans="1:11" x14ac:dyDescent="0.2">
      <c r="A493" s="500"/>
      <c r="B493" s="501"/>
      <c r="C493" s="501"/>
      <c r="D493" s="501"/>
      <c r="E493" s="535"/>
      <c r="F493" s="173" t="s">
        <v>311</v>
      </c>
      <c r="G493" s="178">
        <v>231.78890894135998</v>
      </c>
      <c r="H493" s="171">
        <v>63.924837231870669</v>
      </c>
      <c r="I493" s="175">
        <f t="shared" si="37"/>
        <v>2100.398781963122</v>
      </c>
      <c r="J493" s="171">
        <f t="shared" si="35"/>
        <v>486.84914201299352</v>
      </c>
      <c r="K493" s="181">
        <f t="shared" si="36"/>
        <v>7.4353526208200734E-3</v>
      </c>
    </row>
    <row r="494" spans="1:11" x14ac:dyDescent="0.2">
      <c r="A494" s="500"/>
      <c r="B494" s="501"/>
      <c r="C494" s="501"/>
      <c r="D494" s="501"/>
      <c r="E494" s="535"/>
      <c r="F494" s="173" t="s">
        <v>295</v>
      </c>
      <c r="G494" s="178">
        <v>92.715563576544</v>
      </c>
      <c r="H494" s="171">
        <v>77.623016638700079</v>
      </c>
      <c r="I494" s="175">
        <f t="shared" si="37"/>
        <v>3295.5371565326027</v>
      </c>
      <c r="J494" s="171">
        <f t="shared" si="35"/>
        <v>305.54758475536153</v>
      </c>
      <c r="K494" s="181">
        <f t="shared" si="36"/>
        <v>4.3853406273816342E-3</v>
      </c>
    </row>
    <row r="495" spans="1:11" x14ac:dyDescent="0.2">
      <c r="A495" s="500"/>
      <c r="B495" s="501"/>
      <c r="C495" s="501"/>
      <c r="D495" s="501"/>
      <c r="E495" s="535"/>
      <c r="F495" s="173" t="s">
        <v>312</v>
      </c>
      <c r="G495" s="178">
        <v>927.15563576543991</v>
      </c>
      <c r="H495" s="171">
        <v>73.056956836423623</v>
      </c>
      <c r="I495" s="175">
        <f t="shared" si="37"/>
        <v>2863.1432327367265</v>
      </c>
      <c r="J495" s="171">
        <f t="shared" si="35"/>
        <v>2654.5793842355365</v>
      </c>
      <c r="K495" s="181">
        <f t="shared" si="36"/>
        <v>3.8845923896529376E-2</v>
      </c>
    </row>
    <row r="496" spans="1:11" x14ac:dyDescent="0.2">
      <c r="A496" s="500"/>
      <c r="B496" s="501"/>
      <c r="C496" s="501"/>
      <c r="D496" s="501"/>
      <c r="E496" s="535"/>
      <c r="F496" s="173" t="s">
        <v>313</v>
      </c>
      <c r="G496" s="178">
        <v>231.78890894135998</v>
      </c>
      <c r="H496" s="171">
        <v>173.5102724865061</v>
      </c>
      <c r="I496" s="175">
        <f t="shared" si="37"/>
        <v>21300.149867683584</v>
      </c>
      <c r="J496" s="171">
        <f t="shared" si="35"/>
        <v>4937.1384981178307</v>
      </c>
      <c r="K496" s="181">
        <f t="shared" si="36"/>
        <v>5.4778822369715235E-2</v>
      </c>
    </row>
    <row r="497" spans="1:11" x14ac:dyDescent="0.2">
      <c r="A497" s="500"/>
      <c r="B497" s="501"/>
      <c r="C497" s="501"/>
      <c r="D497" s="501"/>
      <c r="E497" s="535"/>
      <c r="F497" s="173" t="s">
        <v>314</v>
      </c>
      <c r="G497" s="178">
        <v>139.07334536481602</v>
      </c>
      <c r="H497" s="171">
        <v>103.19295153144836</v>
      </c>
      <c r="I497" s="175">
        <f t="shared" si="37"/>
        <v>6379.935583862255</v>
      </c>
      <c r="J497" s="171">
        <f t="shared" si="35"/>
        <v>887.27898485975459</v>
      </c>
      <c r="K497" s="181">
        <f t="shared" si="36"/>
        <v>1.162555317737774E-2</v>
      </c>
    </row>
    <row r="498" spans="1:11" x14ac:dyDescent="0.2">
      <c r="A498" s="500"/>
      <c r="B498" s="501"/>
      <c r="C498" s="501"/>
      <c r="D498" s="501"/>
      <c r="E498" s="535"/>
      <c r="F498" s="173" t="s">
        <v>315</v>
      </c>
      <c r="G498" s="178">
        <v>1019.8711993419842</v>
      </c>
      <c r="H498" s="171">
        <v>288.57497950387329</v>
      </c>
      <c r="I498" s="175">
        <f t="shared" si="37"/>
        <v>69334.332143230247</v>
      </c>
      <c r="J498" s="171">
        <f t="shared" si="35"/>
        <v>70712.088478491714</v>
      </c>
      <c r="K498" s="181">
        <f t="shared" si="36"/>
        <v>0.66670288035515946</v>
      </c>
    </row>
    <row r="499" spans="1:11" x14ac:dyDescent="0.2">
      <c r="A499" s="500"/>
      <c r="B499" s="501"/>
      <c r="C499" s="501"/>
      <c r="D499" s="501"/>
      <c r="E499" s="535"/>
      <c r="F499" s="173" t="s">
        <v>316</v>
      </c>
      <c r="G499" s="178">
        <v>231.78890894135998</v>
      </c>
      <c r="H499" s="171">
        <v>283.09570774114155</v>
      </c>
      <c r="I499" s="175">
        <f t="shared" si="37"/>
        <v>66318.307577936022</v>
      </c>
      <c r="J499" s="171">
        <f t="shared" si="35"/>
        <v>15371.848156327316</v>
      </c>
      <c r="K499" s="181">
        <f t="shared" si="36"/>
        <v>0.14582395650220598</v>
      </c>
    </row>
    <row r="500" spans="1:11" x14ac:dyDescent="0.2">
      <c r="A500" s="500"/>
      <c r="B500" s="501"/>
      <c r="C500" s="501"/>
      <c r="D500" s="501"/>
      <c r="E500" s="535"/>
      <c r="F500" s="173" t="s">
        <v>317</v>
      </c>
      <c r="G500" s="178">
        <v>231.78890894135998</v>
      </c>
      <c r="H500" s="171">
        <v>282.18249578068622</v>
      </c>
      <c r="I500" s="175">
        <f t="shared" si="37"/>
        <v>65823.046233737768</v>
      </c>
      <c r="J500" s="171">
        <f t="shared" si="35"/>
        <v>15257.052069714771</v>
      </c>
      <c r="K500" s="181">
        <f t="shared" si="36"/>
        <v>0.14488467420173909</v>
      </c>
    </row>
    <row r="501" spans="1:11" x14ac:dyDescent="0.2">
      <c r="A501" s="500"/>
      <c r="B501" s="501"/>
      <c r="C501" s="501"/>
      <c r="D501" s="501"/>
      <c r="E501" s="535"/>
      <c r="F501" s="173" t="s">
        <v>172</v>
      </c>
      <c r="G501" s="178">
        <v>509.93559967099208</v>
      </c>
      <c r="H501" s="171">
        <v>166.20457680286373</v>
      </c>
      <c r="I501" s="175">
        <f t="shared" si="37"/>
        <v>19277.021203217559</v>
      </c>
      <c r="J501" s="171">
        <f t="shared" si="35"/>
        <v>9830.0393671331749</v>
      </c>
      <c r="K501" s="181">
        <f t="shared" si="36"/>
        <v>0.11057856417683615</v>
      </c>
    </row>
    <row r="502" spans="1:11" x14ac:dyDescent="0.2">
      <c r="A502" s="500"/>
      <c r="B502" s="501"/>
      <c r="C502" s="501"/>
      <c r="D502" s="501"/>
      <c r="E502" s="535"/>
      <c r="F502" s="173" t="s">
        <v>318</v>
      </c>
      <c r="G502" s="178">
        <v>486.75670877685593</v>
      </c>
      <c r="H502" s="171">
        <v>155.24603327740016</v>
      </c>
      <c r="I502" s="175">
        <f t="shared" si="37"/>
        <v>16455.678830160003</v>
      </c>
      <c r="J502" s="171">
        <f t="shared" si="35"/>
        <v>8009.9120680576652</v>
      </c>
      <c r="K502" s="181">
        <f t="shared" si="36"/>
        <v>9.2092153175014305E-2</v>
      </c>
    </row>
    <row r="503" spans="1:11" x14ac:dyDescent="0.2">
      <c r="A503" s="500"/>
      <c r="B503" s="501"/>
      <c r="C503" s="501"/>
      <c r="D503" s="501"/>
      <c r="E503" s="535"/>
      <c r="F503" s="173" t="s">
        <v>319</v>
      </c>
      <c r="G503" s="178">
        <v>208.61001804722397</v>
      </c>
      <c r="H503" s="171">
        <v>255.69934892748267</v>
      </c>
      <c r="I503" s="175">
        <f t="shared" si="37"/>
        <v>52369.802690166987</v>
      </c>
      <c r="J503" s="171">
        <f t="shared" si="35"/>
        <v>10924.865484325293</v>
      </c>
      <c r="K503" s="181">
        <f t="shared" si="36"/>
        <v>0.10706907773980905</v>
      </c>
    </row>
    <row r="504" spans="1:11" x14ac:dyDescent="0.2">
      <c r="A504" s="500"/>
      <c r="B504" s="501"/>
      <c r="C504" s="501"/>
      <c r="D504" s="501"/>
      <c r="E504" s="535"/>
      <c r="F504" s="173" t="s">
        <v>320</v>
      </c>
      <c r="G504" s="178">
        <v>46.357781788272</v>
      </c>
      <c r="H504" s="171">
        <v>283.09570774114155</v>
      </c>
      <c r="I504" s="175">
        <f t="shared" si="37"/>
        <v>66318.307577936022</v>
      </c>
      <c r="J504" s="171">
        <f t="shared" si="35"/>
        <v>3074.3696312654633</v>
      </c>
      <c r="K504" s="181">
        <f t="shared" si="36"/>
        <v>2.9164791300441195E-2</v>
      </c>
    </row>
    <row r="505" spans="1:11" x14ac:dyDescent="0.2">
      <c r="A505" s="162">
        <v>19</v>
      </c>
      <c r="B505" s="180"/>
      <c r="C505" s="180"/>
      <c r="D505" s="180" t="s">
        <v>37</v>
      </c>
      <c r="E505" s="481">
        <f>Assumptions!D79</f>
        <v>7884.7310000000007</v>
      </c>
      <c r="F505" s="173" t="s">
        <v>323</v>
      </c>
      <c r="G505" s="177">
        <v>0</v>
      </c>
      <c r="H505" s="171">
        <v>0</v>
      </c>
      <c r="I505" s="175">
        <v>0</v>
      </c>
      <c r="J505" s="171">
        <f t="shared" si="35"/>
        <v>0</v>
      </c>
      <c r="K505" s="181">
        <f t="shared" si="36"/>
        <v>0</v>
      </c>
    </row>
    <row r="506" spans="1:11" x14ac:dyDescent="0.2">
      <c r="A506" s="162">
        <v>20</v>
      </c>
      <c r="B506" s="180"/>
      <c r="C506" s="180"/>
      <c r="D506" s="180" t="s">
        <v>36</v>
      </c>
      <c r="E506" s="481">
        <f>Assumptions!D80</f>
        <v>2195.1750000000002</v>
      </c>
      <c r="F506" s="173" t="s">
        <v>323</v>
      </c>
      <c r="G506" s="177">
        <v>0</v>
      </c>
      <c r="H506" s="171">
        <v>0</v>
      </c>
      <c r="I506" s="175">
        <v>0</v>
      </c>
      <c r="J506" s="171">
        <f t="shared" si="35"/>
        <v>0</v>
      </c>
      <c r="K506" s="181">
        <f t="shared" si="36"/>
        <v>0</v>
      </c>
    </row>
    <row r="507" spans="1:11" x14ac:dyDescent="0.2">
      <c r="A507" s="162">
        <v>21</v>
      </c>
      <c r="B507" s="180"/>
      <c r="C507" s="180"/>
      <c r="D507" s="180" t="s">
        <v>37</v>
      </c>
      <c r="E507" s="481">
        <f>Assumptions!D81</f>
        <v>454.25200000000001</v>
      </c>
      <c r="F507" s="173" t="s">
        <v>323</v>
      </c>
      <c r="G507" s="177">
        <v>0</v>
      </c>
      <c r="H507" s="171">
        <v>0</v>
      </c>
      <c r="I507" s="175">
        <v>0</v>
      </c>
      <c r="J507" s="171">
        <f t="shared" si="35"/>
        <v>0</v>
      </c>
      <c r="K507" s="181">
        <f t="shared" si="36"/>
        <v>0</v>
      </c>
    </row>
    <row r="508" spans="1:11" x14ac:dyDescent="0.2">
      <c r="A508" s="500">
        <v>22</v>
      </c>
      <c r="B508" s="501"/>
      <c r="C508" s="501"/>
      <c r="D508" s="501" t="s">
        <v>35</v>
      </c>
      <c r="E508" s="535">
        <f>Assumptions!D82</f>
        <v>18064.454000000005</v>
      </c>
      <c r="F508" s="179" t="s">
        <v>175</v>
      </c>
      <c r="G508" s="177">
        <v>92.715563576544</v>
      </c>
      <c r="H508" s="171">
        <v>65.229425746806797</v>
      </c>
      <c r="I508" s="175">
        <f t="shared" si="37"/>
        <v>2201.1886366589483</v>
      </c>
      <c r="J508" s="171">
        <f t="shared" si="35"/>
        <v>204.08444498611894</v>
      </c>
      <c r="K508" s="181">
        <f t="shared" si="36"/>
        <v>3.0967732698126082E-3</v>
      </c>
    </row>
    <row r="509" spans="1:11" x14ac:dyDescent="0.2">
      <c r="A509" s="500"/>
      <c r="B509" s="501"/>
      <c r="C509" s="501"/>
      <c r="D509" s="501"/>
      <c r="E509" s="535"/>
      <c r="F509" s="179" t="s">
        <v>172</v>
      </c>
      <c r="G509" s="177">
        <v>695.36672682408005</v>
      </c>
      <c r="H509" s="171">
        <v>164.37815288195313</v>
      </c>
      <c r="I509" s="175">
        <f t="shared" si="37"/>
        <v>18789.123315875022</v>
      </c>
      <c r="J509" s="171">
        <f t="shared" si="35"/>
        <v>13065.33118005402</v>
      </c>
      <c r="K509" s="181">
        <f t="shared" si="36"/>
        <v>0.14749311729463493</v>
      </c>
    </row>
    <row r="510" spans="1:11" x14ac:dyDescent="0.2">
      <c r="A510" s="500"/>
      <c r="B510" s="501"/>
      <c r="C510" s="501"/>
      <c r="D510" s="501"/>
      <c r="E510" s="535"/>
      <c r="F510" s="179" t="s">
        <v>202</v>
      </c>
      <c r="G510" s="177">
        <v>46.357781788272</v>
      </c>
      <c r="H510" s="171">
        <v>113.84709107009347</v>
      </c>
      <c r="I510" s="175">
        <f t="shared" si="37"/>
        <v>8013.368436719059</v>
      </c>
      <c r="J510" s="171">
        <f t="shared" si="35"/>
        <v>371.48198537844843</v>
      </c>
      <c r="K510" s="181">
        <f t="shared" si="36"/>
        <v>4.7166774747838033E-3</v>
      </c>
    </row>
    <row r="511" spans="1:11" x14ac:dyDescent="0.2">
      <c r="A511" s="500"/>
      <c r="B511" s="501"/>
      <c r="C511" s="501"/>
      <c r="D511" s="501"/>
      <c r="E511" s="535"/>
      <c r="F511" s="179" t="s">
        <v>177</v>
      </c>
      <c r="G511" s="177">
        <v>417.22003609444795</v>
      </c>
      <c r="H511" s="171">
        <v>94.365235913713846</v>
      </c>
      <c r="I511" s="175">
        <f t="shared" si="37"/>
        <v>5184.5626122640688</v>
      </c>
      <c r="J511" s="171">
        <f t="shared" si="35"/>
        <v>2163.1034002227402</v>
      </c>
      <c r="K511" s="181">
        <f t="shared" si="36"/>
        <v>2.9164791300441192E-2</v>
      </c>
    </row>
    <row r="512" spans="1:11" x14ac:dyDescent="0.2">
      <c r="A512" s="500"/>
      <c r="B512" s="501"/>
      <c r="C512" s="501"/>
      <c r="D512" s="501"/>
      <c r="E512" s="535"/>
      <c r="F512" s="179" t="s">
        <v>188</v>
      </c>
      <c r="G512" s="177">
        <v>324.50447251790399</v>
      </c>
      <c r="H512" s="171">
        <v>107.55607534251256</v>
      </c>
      <c r="I512" s="175">
        <f t="shared" si="37"/>
        <v>7023.3011443322794</v>
      </c>
      <c r="J512" s="171">
        <f t="shared" si="35"/>
        <v>2279.0926331759379</v>
      </c>
      <c r="K512" s="181">
        <f t="shared" si="36"/>
        <v>2.9468649752216709E-2</v>
      </c>
    </row>
    <row r="513" spans="1:11" x14ac:dyDescent="0.2">
      <c r="A513" s="500"/>
      <c r="B513" s="501"/>
      <c r="C513" s="501"/>
      <c r="D513" s="501"/>
      <c r="E513" s="535"/>
      <c r="F513" s="179" t="s">
        <v>173</v>
      </c>
      <c r="G513" s="177">
        <v>973.51341755371186</v>
      </c>
      <c r="H513" s="171">
        <v>47.834912214324987</v>
      </c>
      <c r="I513" s="175">
        <f t="shared" si="37"/>
        <v>1071.9056762300681</v>
      </c>
      <c r="J513" s="171">
        <f t="shared" si="35"/>
        <v>1043.5145581619561</v>
      </c>
      <c r="K513" s="181">
        <f t="shared" si="36"/>
        <v>1.7486446396875195E-2</v>
      </c>
    </row>
    <row r="514" spans="1:11" x14ac:dyDescent="0.2">
      <c r="A514" s="500"/>
      <c r="B514" s="501"/>
      <c r="C514" s="501"/>
      <c r="D514" s="501"/>
      <c r="E514" s="535"/>
      <c r="F514" s="179" t="s">
        <v>185</v>
      </c>
      <c r="G514" s="177">
        <v>278.14669072963204</v>
      </c>
      <c r="H514" s="171">
        <v>200.90663130016495</v>
      </c>
      <c r="I514" s="175">
        <f t="shared" si="37"/>
        <v>29929.187321523452</v>
      </c>
      <c r="J514" s="171">
        <f t="shared" si="35"/>
        <v>8324.7044097090075</v>
      </c>
      <c r="K514" s="181">
        <f t="shared" si="36"/>
        <v>8.8131689840251021E-2</v>
      </c>
    </row>
    <row r="515" spans="1:11" x14ac:dyDescent="0.2">
      <c r="A515" s="500"/>
      <c r="B515" s="501"/>
      <c r="C515" s="501"/>
      <c r="D515" s="501"/>
      <c r="E515" s="535"/>
      <c r="F515" s="179" t="s">
        <v>170</v>
      </c>
      <c r="G515" s="177">
        <v>92.715563576544</v>
      </c>
      <c r="H515" s="171">
        <v>54.792717627317714</v>
      </c>
      <c r="I515" s="175">
        <f t="shared" si="37"/>
        <v>1468.8762397355563</v>
      </c>
      <c r="J515" s="171">
        <f t="shared" si="35"/>
        <v>136.18768839127688</v>
      </c>
      <c r="K515" s="181">
        <f t="shared" si="36"/>
        <v>2.1850832191797772E-3</v>
      </c>
    </row>
    <row r="516" spans="1:11" x14ac:dyDescent="0.2">
      <c r="A516" s="152">
        <v>2018</v>
      </c>
      <c r="E516" s="81"/>
    </row>
    <row r="517" spans="1:11" ht="26" x14ac:dyDescent="0.2">
      <c r="A517" s="499" t="s">
        <v>8</v>
      </c>
      <c r="B517" s="499" t="s">
        <v>169</v>
      </c>
      <c r="C517" s="499" t="s">
        <v>31</v>
      </c>
      <c r="D517" s="499" t="s">
        <v>32</v>
      </c>
      <c r="E517" s="158" t="s">
        <v>65</v>
      </c>
      <c r="F517" s="499" t="s">
        <v>494</v>
      </c>
      <c r="G517" s="499" t="s">
        <v>495</v>
      </c>
      <c r="H517" s="151" t="s">
        <v>504</v>
      </c>
      <c r="I517" s="151" t="s">
        <v>205</v>
      </c>
      <c r="J517" s="151" t="s">
        <v>497</v>
      </c>
      <c r="K517" s="160" t="s">
        <v>509</v>
      </c>
    </row>
    <row r="518" spans="1:11" x14ac:dyDescent="0.2">
      <c r="A518" s="500"/>
      <c r="B518" s="500"/>
      <c r="C518" s="500"/>
      <c r="D518" s="500"/>
      <c r="E518" s="162" t="s">
        <v>499</v>
      </c>
      <c r="F518" s="500"/>
      <c r="G518" s="500"/>
      <c r="H518" s="162" t="s">
        <v>500</v>
      </c>
      <c r="I518" s="171" t="s">
        <v>501</v>
      </c>
      <c r="J518" s="171"/>
      <c r="K518" s="172" t="s">
        <v>499</v>
      </c>
    </row>
    <row r="519" spans="1:11" x14ac:dyDescent="0.2">
      <c r="A519" s="500">
        <v>1</v>
      </c>
      <c r="B519" s="500"/>
      <c r="C519" s="500"/>
      <c r="D519" s="500" t="s">
        <v>34</v>
      </c>
      <c r="E519" s="535">
        <f>Assumptions!D61</f>
        <v>183.761</v>
      </c>
      <c r="F519" s="173" t="s">
        <v>292</v>
      </c>
      <c r="G519" s="174">
        <v>47.211945271807998</v>
      </c>
      <c r="H519" s="171">
        <v>74.855781648063996</v>
      </c>
      <c r="I519" s="175">
        <f>EXP(-1.996+2.32*LN(H519))</f>
        <v>3029.3609671881686</v>
      </c>
      <c r="J519" s="175">
        <f t="shared" ref="J519:J582" si="38">(I519*G519)/1000</f>
        <v>143.02202419143916</v>
      </c>
      <c r="K519" s="176">
        <f t="shared" ref="K519:K582" si="39">0.00000001*3.14*(H519/2)^2*G519</f>
        <v>2.0766927707038356E-3</v>
      </c>
    </row>
    <row r="520" spans="1:11" x14ac:dyDescent="0.2">
      <c r="A520" s="500"/>
      <c r="B520" s="500"/>
      <c r="C520" s="500"/>
      <c r="D520" s="500"/>
      <c r="E520" s="535"/>
      <c r="F520" s="173" t="s">
        <v>293</v>
      </c>
      <c r="G520" s="177">
        <v>93.181470931199996</v>
      </c>
      <c r="H520" s="171">
        <v>56.219487461824002</v>
      </c>
      <c r="I520" s="175">
        <f t="shared" ref="I520:I583" si="40">EXP(-1.996+2.32*LN(H520))</f>
        <v>1559.1423932822049</v>
      </c>
      <c r="J520" s="175">
        <f t="shared" si="38"/>
        <v>145.28318159722738</v>
      </c>
      <c r="K520" s="176">
        <f t="shared" si="39"/>
        <v>2.3119209604631681E-3</v>
      </c>
    </row>
    <row r="521" spans="1:11" x14ac:dyDescent="0.2">
      <c r="A521" s="500"/>
      <c r="B521" s="500"/>
      <c r="C521" s="500"/>
      <c r="D521" s="500"/>
      <c r="E521" s="535"/>
      <c r="F521" s="173" t="s">
        <v>294</v>
      </c>
      <c r="G521" s="174">
        <v>792.97431762451197</v>
      </c>
      <c r="H521" s="171">
        <v>51.560413915264007</v>
      </c>
      <c r="I521" s="175">
        <f t="shared" si="40"/>
        <v>1275.6227345776499</v>
      </c>
      <c r="J521" s="175">
        <f t="shared" si="38"/>
        <v>1011.5360674980259</v>
      </c>
      <c r="K521" s="176">
        <f t="shared" si="39"/>
        <v>1.6548611819703653E-2</v>
      </c>
    </row>
    <row r="522" spans="1:11" x14ac:dyDescent="0.2">
      <c r="A522" s="500"/>
      <c r="B522" s="500"/>
      <c r="C522" s="500"/>
      <c r="D522" s="500"/>
      <c r="E522" s="535"/>
      <c r="F522" s="173" t="s">
        <v>295</v>
      </c>
      <c r="G522" s="178">
        <v>186.67354676550403</v>
      </c>
      <c r="H522" s="171">
        <v>77.340620872896011</v>
      </c>
      <c r="I522" s="175">
        <f t="shared" si="40"/>
        <v>3267.7887386756015</v>
      </c>
      <c r="J522" s="175">
        <f t="shared" si="38"/>
        <v>610.00971392894735</v>
      </c>
      <c r="K522" s="176">
        <f t="shared" si="39"/>
        <v>8.7653193627866294E-3</v>
      </c>
    </row>
    <row r="523" spans="1:11" x14ac:dyDescent="0.2">
      <c r="A523" s="500"/>
      <c r="B523" s="500"/>
      <c r="C523" s="500"/>
      <c r="D523" s="500"/>
      <c r="E523" s="535"/>
      <c r="F523" s="173" t="s">
        <v>296</v>
      </c>
      <c r="G523" s="178">
        <v>93.181470931199996</v>
      </c>
      <c r="H523" s="171">
        <v>79.204250291519998</v>
      </c>
      <c r="I523" s="175">
        <f t="shared" si="40"/>
        <v>3453.38266892518</v>
      </c>
      <c r="J523" s="175">
        <f t="shared" si="38"/>
        <v>321.79127677876153</v>
      </c>
      <c r="K523" s="176">
        <f t="shared" si="39"/>
        <v>4.5887689769578913E-3</v>
      </c>
    </row>
    <row r="524" spans="1:11" x14ac:dyDescent="0.2">
      <c r="A524" s="500"/>
      <c r="B524" s="500"/>
      <c r="C524" s="500"/>
      <c r="D524" s="500"/>
      <c r="E524" s="535"/>
      <c r="F524" s="173" t="s">
        <v>297</v>
      </c>
      <c r="G524" s="178">
        <v>46.280130562496005</v>
      </c>
      <c r="H524" s="171">
        <v>66.469449264255999</v>
      </c>
      <c r="I524" s="175">
        <f t="shared" si="40"/>
        <v>2299.4895522794682</v>
      </c>
      <c r="J524" s="175">
        <f t="shared" si="38"/>
        <v>106.42067670658926</v>
      </c>
      <c r="K524" s="176">
        <f t="shared" si="39"/>
        <v>1.6051232780338732E-3</v>
      </c>
    </row>
    <row r="525" spans="1:11" x14ac:dyDescent="0.2">
      <c r="A525" s="500"/>
      <c r="B525" s="500"/>
      <c r="C525" s="500"/>
      <c r="D525" s="500"/>
      <c r="E525" s="535"/>
      <c r="F525" s="173" t="s">
        <v>298</v>
      </c>
      <c r="G525" s="178">
        <v>93.181470931199996</v>
      </c>
      <c r="H525" s="171">
        <v>57.772511977344003</v>
      </c>
      <c r="I525" s="175">
        <f t="shared" si="40"/>
        <v>1660.8924737379539</v>
      </c>
      <c r="J525" s="175">
        <f t="shared" si="38"/>
        <v>154.76440376146198</v>
      </c>
      <c r="K525" s="176">
        <f t="shared" si="39"/>
        <v>2.4414156328617488E-3</v>
      </c>
    </row>
    <row r="526" spans="1:11" x14ac:dyDescent="0.2">
      <c r="A526" s="500"/>
      <c r="B526" s="500"/>
      <c r="C526" s="500"/>
      <c r="D526" s="500"/>
      <c r="E526" s="535"/>
      <c r="F526" s="173" t="s">
        <v>299</v>
      </c>
      <c r="G526" s="178">
        <v>46.901340368704005</v>
      </c>
      <c r="H526" s="171">
        <v>53.113438430784001</v>
      </c>
      <c r="I526" s="175">
        <f t="shared" si="40"/>
        <v>1366.5403593018145</v>
      </c>
      <c r="J526" s="175">
        <f t="shared" si="38"/>
        <v>64.092574519185476</v>
      </c>
      <c r="K526" s="176">
        <f t="shared" si="39"/>
        <v>1.0386368956523944E-3</v>
      </c>
    </row>
    <row r="527" spans="1:11" x14ac:dyDescent="0.2">
      <c r="A527" s="500"/>
      <c r="B527" s="500"/>
      <c r="C527" s="500"/>
      <c r="D527" s="500"/>
      <c r="E527" s="535"/>
      <c r="F527" s="173" t="s">
        <v>300</v>
      </c>
      <c r="G527" s="178">
        <v>559.39943049030398</v>
      </c>
      <c r="H527" s="171">
        <v>58.083116880448003</v>
      </c>
      <c r="I527" s="175">
        <f t="shared" si="40"/>
        <v>1681.6825343211099</v>
      </c>
      <c r="J527" s="175">
        <f t="shared" si="38"/>
        <v>940.73225196471992</v>
      </c>
      <c r="K527" s="176">
        <f t="shared" si="39"/>
        <v>1.4814653692261344E-2</v>
      </c>
    </row>
    <row r="528" spans="1:11" x14ac:dyDescent="0.2">
      <c r="A528" s="500"/>
      <c r="B528" s="500"/>
      <c r="C528" s="500"/>
      <c r="D528" s="500"/>
      <c r="E528" s="535"/>
      <c r="F528" s="173" t="s">
        <v>301</v>
      </c>
      <c r="G528" s="178">
        <v>92.870866028096003</v>
      </c>
      <c r="H528" s="171">
        <v>112.74957982675201</v>
      </c>
      <c r="I528" s="175">
        <f t="shared" si="40"/>
        <v>7835.2860559664969</v>
      </c>
      <c r="J528" s="175">
        <f t="shared" si="38"/>
        <v>727.66980159547325</v>
      </c>
      <c r="K528" s="176">
        <f t="shared" si="39"/>
        <v>9.2678504317880092E-3</v>
      </c>
    </row>
    <row r="529" spans="1:11" x14ac:dyDescent="0.2">
      <c r="A529" s="500"/>
      <c r="B529" s="500"/>
      <c r="C529" s="500"/>
      <c r="D529" s="500"/>
      <c r="E529" s="535"/>
      <c r="F529" s="173" t="s">
        <v>302</v>
      </c>
      <c r="G529" s="178">
        <v>326.44575316230396</v>
      </c>
      <c r="H529" s="171">
        <v>118.02986317952001</v>
      </c>
      <c r="I529" s="175">
        <f t="shared" si="40"/>
        <v>8713.0344401538259</v>
      </c>
      <c r="J529" s="175">
        <f t="shared" si="38"/>
        <v>2844.3330901451091</v>
      </c>
      <c r="K529" s="176">
        <f t="shared" si="39"/>
        <v>3.5699693478232895E-2</v>
      </c>
    </row>
    <row r="530" spans="1:11" x14ac:dyDescent="0.2">
      <c r="A530" s="500"/>
      <c r="B530" s="500"/>
      <c r="C530" s="500"/>
      <c r="D530" s="500"/>
      <c r="E530" s="535"/>
      <c r="F530" s="173" t="s">
        <v>303</v>
      </c>
      <c r="G530" s="178">
        <v>419.00601428729607</v>
      </c>
      <c r="H530" s="171">
        <v>116.78744356710401</v>
      </c>
      <c r="I530" s="175">
        <f t="shared" si="40"/>
        <v>8501.7295759995814</v>
      </c>
      <c r="J530" s="175">
        <f t="shared" si="38"/>
        <v>3562.2758241880078</v>
      </c>
      <c r="K530" s="176">
        <f t="shared" si="39"/>
        <v>4.4862370477701009E-2</v>
      </c>
    </row>
    <row r="531" spans="1:11" x14ac:dyDescent="0.2">
      <c r="A531" s="500"/>
      <c r="B531" s="500"/>
      <c r="C531" s="500"/>
      <c r="D531" s="500"/>
      <c r="E531" s="535"/>
      <c r="F531" s="173" t="s">
        <v>304</v>
      </c>
      <c r="G531" s="178">
        <v>46.280130562496005</v>
      </c>
      <c r="H531" s="171">
        <v>93.802680737408011</v>
      </c>
      <c r="I531" s="175">
        <f t="shared" si="40"/>
        <v>5113.1389419043262</v>
      </c>
      <c r="J531" s="175">
        <f t="shared" si="38"/>
        <v>236.63673781551489</v>
      </c>
      <c r="K531" s="176">
        <f t="shared" si="39"/>
        <v>3.1966473807712764E-3</v>
      </c>
    </row>
    <row r="532" spans="1:11" x14ac:dyDescent="0.2">
      <c r="A532" s="500">
        <v>2</v>
      </c>
      <c r="B532" s="500"/>
      <c r="C532" s="500"/>
      <c r="D532" s="500" t="s">
        <v>35</v>
      </c>
      <c r="E532" s="535">
        <f>Assumptions!D62</f>
        <v>6772.8780000000015</v>
      </c>
      <c r="F532" s="179" t="s">
        <v>173</v>
      </c>
      <c r="G532" s="177">
        <v>77.340620872896011</v>
      </c>
      <c r="H532" s="171">
        <v>108.7117160864</v>
      </c>
      <c r="I532" s="175">
        <f t="shared" si="40"/>
        <v>7199.6162649253301</v>
      </c>
      <c r="J532" s="175">
        <f t="shared" si="38"/>
        <v>556.82279197592561</v>
      </c>
      <c r="K532" s="176">
        <f t="shared" si="39"/>
        <v>7.1751339597415408E-3</v>
      </c>
    </row>
    <row r="533" spans="1:11" x14ac:dyDescent="0.2">
      <c r="A533" s="500"/>
      <c r="B533" s="500"/>
      <c r="C533" s="501"/>
      <c r="D533" s="501"/>
      <c r="E533" s="535"/>
      <c r="F533" s="179" t="s">
        <v>170</v>
      </c>
      <c r="G533" s="177">
        <v>155.61305645510402</v>
      </c>
      <c r="H533" s="171">
        <v>74.545176744960003</v>
      </c>
      <c r="I533" s="175">
        <f t="shared" si="40"/>
        <v>3000.278482366311</v>
      </c>
      <c r="J533" s="175">
        <f t="shared" si="38"/>
        <v>466.88250485750251</v>
      </c>
      <c r="K533" s="176">
        <f t="shared" si="39"/>
        <v>6.788202467228506E-3</v>
      </c>
    </row>
    <row r="534" spans="1:11" x14ac:dyDescent="0.2">
      <c r="A534" s="500"/>
      <c r="B534" s="500"/>
      <c r="C534" s="501"/>
      <c r="D534" s="501"/>
      <c r="E534" s="535"/>
      <c r="F534" s="179" t="s">
        <v>171</v>
      </c>
      <c r="G534" s="177">
        <v>698.86103198400008</v>
      </c>
      <c r="H534" s="171">
        <v>102.49961802431999</v>
      </c>
      <c r="I534" s="175">
        <f t="shared" si="40"/>
        <v>6280.9281742744943</v>
      </c>
      <c r="J534" s="175">
        <f t="shared" si="38"/>
        <v>4389.4959456908546</v>
      </c>
      <c r="K534" s="176">
        <f t="shared" si="39"/>
        <v>5.7637478845526446E-2</v>
      </c>
    </row>
    <row r="535" spans="1:11" x14ac:dyDescent="0.2">
      <c r="A535" s="500"/>
      <c r="B535" s="500"/>
      <c r="C535" s="501"/>
      <c r="D535" s="501"/>
      <c r="E535" s="535"/>
      <c r="F535" s="179" t="s">
        <v>172</v>
      </c>
      <c r="G535" s="177">
        <v>396.02125145760004</v>
      </c>
      <c r="H535" s="171">
        <v>118.02986317952001</v>
      </c>
      <c r="I535" s="175">
        <f t="shared" si="40"/>
        <v>8713.0344401538259</v>
      </c>
      <c r="J535" s="175">
        <f t="shared" si="38"/>
        <v>3450.5468029828876</v>
      </c>
      <c r="K535" s="176">
        <f t="shared" si="39"/>
        <v>4.3308381717171218E-2</v>
      </c>
    </row>
    <row r="536" spans="1:11" x14ac:dyDescent="0.2">
      <c r="A536" s="500">
        <v>3</v>
      </c>
      <c r="B536" s="500"/>
      <c r="C536" s="501"/>
      <c r="D536" s="501" t="s">
        <v>35</v>
      </c>
      <c r="E536" s="535">
        <f>Assumptions!D63</f>
        <v>4319.8270000000002</v>
      </c>
      <c r="F536" s="179" t="s">
        <v>174</v>
      </c>
      <c r="G536" s="177">
        <v>93.181470931199996</v>
      </c>
      <c r="H536" s="171">
        <v>228.29460378143997</v>
      </c>
      <c r="I536" s="175">
        <f t="shared" si="40"/>
        <v>40258.548557508868</v>
      </c>
      <c r="J536" s="175">
        <f t="shared" si="38"/>
        <v>3751.3507721438159</v>
      </c>
      <c r="K536" s="176">
        <f t="shared" si="39"/>
        <v>3.8123302123446001E-2</v>
      </c>
    </row>
    <row r="537" spans="1:11" x14ac:dyDescent="0.2">
      <c r="A537" s="500"/>
      <c r="B537" s="500"/>
      <c r="C537" s="501"/>
      <c r="D537" s="501"/>
      <c r="E537" s="535"/>
      <c r="F537" s="179" t="s">
        <v>175</v>
      </c>
      <c r="G537" s="177">
        <v>46.590735465599998</v>
      </c>
      <c r="H537" s="171">
        <v>55.908882558720002</v>
      </c>
      <c r="I537" s="175">
        <f t="shared" si="40"/>
        <v>1539.2306346913992</v>
      </c>
      <c r="J537" s="175">
        <f t="shared" si="38"/>
        <v>71.713887321454578</v>
      </c>
      <c r="K537" s="176">
        <f t="shared" si="39"/>
        <v>1.1432227209030041E-3</v>
      </c>
    </row>
    <row r="538" spans="1:11" x14ac:dyDescent="0.2">
      <c r="A538" s="500"/>
      <c r="B538" s="500"/>
      <c r="C538" s="501"/>
      <c r="D538" s="501"/>
      <c r="E538" s="535"/>
      <c r="F538" s="179" t="s">
        <v>176</v>
      </c>
      <c r="G538" s="177">
        <v>46.590735465599998</v>
      </c>
      <c r="H538" s="171">
        <v>279.54441279360003</v>
      </c>
      <c r="I538" s="175">
        <f t="shared" si="40"/>
        <v>64404.187904845741</v>
      </c>
      <c r="J538" s="175">
        <f t="shared" si="38"/>
        <v>3000.638481551463</v>
      </c>
      <c r="K538" s="176">
        <f t="shared" si="39"/>
        <v>2.8580568022575106E-2</v>
      </c>
    </row>
    <row r="539" spans="1:11" x14ac:dyDescent="0.2">
      <c r="A539" s="500"/>
      <c r="B539" s="500"/>
      <c r="C539" s="501"/>
      <c r="D539" s="501"/>
      <c r="E539" s="535"/>
      <c r="F539" s="179" t="s">
        <v>177</v>
      </c>
      <c r="G539" s="177">
        <v>46.590735465599998</v>
      </c>
      <c r="H539" s="171">
        <v>177.04479476928</v>
      </c>
      <c r="I539" s="175">
        <f t="shared" si="40"/>
        <v>22320.357776199719</v>
      </c>
      <c r="J539" s="175">
        <f t="shared" si="38"/>
        <v>1039.9218846484689</v>
      </c>
      <c r="K539" s="176">
        <f t="shared" si="39"/>
        <v>1.1463983395721791E-2</v>
      </c>
    </row>
    <row r="540" spans="1:11" x14ac:dyDescent="0.2">
      <c r="A540" s="500">
        <v>4</v>
      </c>
      <c r="B540" s="500"/>
      <c r="C540" s="501"/>
      <c r="D540" s="501" t="s">
        <v>34</v>
      </c>
      <c r="E540" s="535">
        <f>Assumptions!D64</f>
        <v>1612.0500000000002</v>
      </c>
      <c r="F540" s="173" t="s">
        <v>305</v>
      </c>
      <c r="G540" s="177">
        <v>745.45176744959997</v>
      </c>
      <c r="H540" s="171">
        <v>65.227029651839999</v>
      </c>
      <c r="I540" s="175">
        <f t="shared" si="40"/>
        <v>2201.0010529193169</v>
      </c>
      <c r="J540" s="175">
        <f t="shared" si="38"/>
        <v>1640.7401250571352</v>
      </c>
      <c r="K540" s="176">
        <f t="shared" si="39"/>
        <v>2.4896850366332088E-2</v>
      </c>
    </row>
    <row r="541" spans="1:11" x14ac:dyDescent="0.2">
      <c r="A541" s="500"/>
      <c r="B541" s="500"/>
      <c r="C541" s="501"/>
      <c r="D541" s="501"/>
      <c r="E541" s="535"/>
      <c r="F541" s="173" t="s">
        <v>306</v>
      </c>
      <c r="G541" s="177">
        <v>232.95367732799997</v>
      </c>
      <c r="H541" s="171">
        <v>51.249809012159993</v>
      </c>
      <c r="I541" s="175">
        <f t="shared" si="40"/>
        <v>1257.8655909288198</v>
      </c>
      <c r="J541" s="175">
        <f t="shared" si="38"/>
        <v>293.02441499122631</v>
      </c>
      <c r="K541" s="176">
        <f t="shared" si="39"/>
        <v>4.8031232371272027E-3</v>
      </c>
    </row>
    <row r="542" spans="1:11" x14ac:dyDescent="0.2">
      <c r="A542" s="500"/>
      <c r="B542" s="500"/>
      <c r="C542" s="501"/>
      <c r="D542" s="501"/>
      <c r="E542" s="535"/>
      <c r="F542" s="173" t="s">
        <v>307</v>
      </c>
      <c r="G542" s="177">
        <v>2376.1275087455997</v>
      </c>
      <c r="H542" s="171">
        <v>52.181623721472</v>
      </c>
      <c r="I542" s="175">
        <f t="shared" si="40"/>
        <v>1311.5625883097541</v>
      </c>
      <c r="J542" s="175">
        <f t="shared" si="38"/>
        <v>3116.4399455243865</v>
      </c>
      <c r="K542" s="176">
        <f t="shared" si="39"/>
        <v>5.0789574747317462E-2</v>
      </c>
    </row>
    <row r="543" spans="1:11" ht="26" x14ac:dyDescent="0.2">
      <c r="A543" s="162">
        <v>5</v>
      </c>
      <c r="B543" s="162"/>
      <c r="C543" s="6"/>
      <c r="D543" s="6" t="s">
        <v>34</v>
      </c>
      <c r="E543" s="171">
        <f>Assumptions!D65</f>
        <v>353.58800000000002</v>
      </c>
      <c r="F543" s="173" t="s">
        <v>323</v>
      </c>
      <c r="G543" s="177">
        <v>0</v>
      </c>
      <c r="H543" s="171">
        <v>0</v>
      </c>
      <c r="I543" s="175">
        <v>0</v>
      </c>
      <c r="J543" s="175">
        <f t="shared" si="38"/>
        <v>0</v>
      </c>
      <c r="K543" s="176">
        <f t="shared" si="39"/>
        <v>0</v>
      </c>
    </row>
    <row r="544" spans="1:11" x14ac:dyDescent="0.2">
      <c r="A544" s="500">
        <v>6</v>
      </c>
      <c r="B544" s="500"/>
      <c r="C544" s="501"/>
      <c r="D544" s="501" t="s">
        <v>35</v>
      </c>
      <c r="E544" s="535">
        <f>Assumptions!D66</f>
        <v>4915.7929999999997</v>
      </c>
      <c r="F544" s="179" t="s">
        <v>178</v>
      </c>
      <c r="G544" s="177">
        <v>838.63323838079987</v>
      </c>
      <c r="H544" s="171">
        <v>82.218944939294104</v>
      </c>
      <c r="I544" s="175">
        <f t="shared" si="40"/>
        <v>3766.0234583968877</v>
      </c>
      <c r="J544" s="175">
        <f t="shared" si="38"/>
        <v>3158.3124487334417</v>
      </c>
      <c r="K544" s="176">
        <f t="shared" si="39"/>
        <v>4.4502614568023499E-2</v>
      </c>
    </row>
    <row r="545" spans="1:11" x14ac:dyDescent="0.2">
      <c r="A545" s="500"/>
      <c r="B545" s="500"/>
      <c r="C545" s="501"/>
      <c r="D545" s="501"/>
      <c r="E545" s="535"/>
      <c r="F545" s="179" t="s">
        <v>179</v>
      </c>
      <c r="G545" s="177">
        <v>559.08882558720006</v>
      </c>
      <c r="H545" s="171">
        <v>69.886103198400008</v>
      </c>
      <c r="I545" s="175">
        <f t="shared" si="40"/>
        <v>2583.0625833933318</v>
      </c>
      <c r="J545" s="175">
        <f t="shared" si="38"/>
        <v>1444.1614261676168</v>
      </c>
      <c r="K545" s="176">
        <f t="shared" si="39"/>
        <v>2.1435426016931332E-2</v>
      </c>
    </row>
    <row r="546" spans="1:11" x14ac:dyDescent="0.2">
      <c r="A546" s="500"/>
      <c r="B546" s="500"/>
      <c r="C546" s="501"/>
      <c r="D546" s="501"/>
      <c r="E546" s="535"/>
      <c r="F546" s="179" t="s">
        <v>175</v>
      </c>
      <c r="G546" s="177">
        <v>1397.7220639680002</v>
      </c>
      <c r="H546" s="171">
        <v>37.272588372480001</v>
      </c>
      <c r="I546" s="175">
        <f t="shared" si="40"/>
        <v>600.85817915098949</v>
      </c>
      <c r="J546" s="175">
        <f t="shared" si="38"/>
        <v>839.83273431497548</v>
      </c>
      <c r="K546" s="176">
        <f t="shared" si="39"/>
        <v>1.524296961204006E-2</v>
      </c>
    </row>
    <row r="547" spans="1:11" x14ac:dyDescent="0.2">
      <c r="A547" s="500"/>
      <c r="B547" s="500"/>
      <c r="C547" s="501"/>
      <c r="D547" s="501"/>
      <c r="E547" s="535"/>
      <c r="F547" s="179" t="s">
        <v>180</v>
      </c>
      <c r="G547" s="177">
        <v>93.181470931199996</v>
      </c>
      <c r="H547" s="171">
        <v>93.181470931199996</v>
      </c>
      <c r="I547" s="175">
        <f t="shared" si="40"/>
        <v>5034.9225859283533</v>
      </c>
      <c r="J547" s="175">
        <f t="shared" si="38"/>
        <v>469.16149258152518</v>
      </c>
      <c r="K547" s="176">
        <f t="shared" si="39"/>
        <v>6.3512373383500234E-3</v>
      </c>
    </row>
    <row r="548" spans="1:11" x14ac:dyDescent="0.2">
      <c r="A548" s="500"/>
      <c r="B548" s="500"/>
      <c r="C548" s="501"/>
      <c r="D548" s="501"/>
      <c r="E548" s="535"/>
      <c r="F548" s="179" t="s">
        <v>181</v>
      </c>
      <c r="G548" s="177">
        <v>93.181470931199996</v>
      </c>
      <c r="H548" s="171">
        <v>149.09035348992001</v>
      </c>
      <c r="I548" s="175">
        <f t="shared" si="40"/>
        <v>14981.357139000153</v>
      </c>
      <c r="J548" s="175">
        <f t="shared" si="38"/>
        <v>1395.9848947576681</v>
      </c>
      <c r="K548" s="176">
        <f t="shared" si="39"/>
        <v>1.6259167586176061E-2</v>
      </c>
    </row>
    <row r="549" spans="1:11" ht="26" x14ac:dyDescent="0.2">
      <c r="A549" s="162">
        <v>7</v>
      </c>
      <c r="B549" s="162"/>
      <c r="C549" s="6"/>
      <c r="D549" s="6" t="s">
        <v>34</v>
      </c>
      <c r="E549" s="171">
        <f>Assumptions!D67</f>
        <v>2549.9479999999994</v>
      </c>
      <c r="F549" s="173" t="s">
        <v>323</v>
      </c>
      <c r="G549" s="177">
        <v>0</v>
      </c>
      <c r="H549" s="171">
        <v>0</v>
      </c>
      <c r="I549" s="175">
        <v>0</v>
      </c>
      <c r="J549" s="175">
        <f t="shared" si="38"/>
        <v>0</v>
      </c>
      <c r="K549" s="176">
        <f t="shared" si="39"/>
        <v>0</v>
      </c>
    </row>
    <row r="550" spans="1:11" x14ac:dyDescent="0.2">
      <c r="A550" s="162">
        <v>8</v>
      </c>
      <c r="B550" s="162"/>
      <c r="C550" s="6"/>
      <c r="D550" s="6" t="s">
        <v>36</v>
      </c>
      <c r="E550" s="171">
        <f>Assumptions!D68</f>
        <v>741.26900000000001</v>
      </c>
      <c r="F550" s="173" t="s">
        <v>323</v>
      </c>
      <c r="G550" s="177">
        <v>0</v>
      </c>
      <c r="H550" s="171">
        <v>0</v>
      </c>
      <c r="I550" s="175">
        <v>0</v>
      </c>
      <c r="J550" s="175">
        <f t="shared" si="38"/>
        <v>0</v>
      </c>
      <c r="K550" s="176">
        <f t="shared" si="39"/>
        <v>0</v>
      </c>
    </row>
    <row r="551" spans="1:11" x14ac:dyDescent="0.2">
      <c r="A551" s="500">
        <v>9</v>
      </c>
      <c r="B551" s="500"/>
      <c r="C551" s="501"/>
      <c r="D551" s="501" t="s">
        <v>35</v>
      </c>
      <c r="E551" s="535">
        <f>Assumptions!D69</f>
        <v>8643.7000000000025</v>
      </c>
      <c r="F551" s="179" t="s">
        <v>173</v>
      </c>
      <c r="G551" s="177">
        <v>326.13514825919998</v>
      </c>
      <c r="H551" s="171">
        <v>63.895865781394278</v>
      </c>
      <c r="I551" s="175">
        <f t="shared" si="40"/>
        <v>2098.1909783906594</v>
      </c>
      <c r="J551" s="175">
        <f t="shared" si="38"/>
        <v>684.29382581355355</v>
      </c>
      <c r="K551" s="176">
        <f t="shared" si="39"/>
        <v>1.0452322019684605E-2</v>
      </c>
    </row>
    <row r="552" spans="1:11" x14ac:dyDescent="0.2">
      <c r="A552" s="500"/>
      <c r="B552" s="500"/>
      <c r="C552" s="501"/>
      <c r="D552" s="501"/>
      <c r="E552" s="535"/>
      <c r="F552" s="179" t="s">
        <v>182</v>
      </c>
      <c r="G552" s="177">
        <v>326.13514825919998</v>
      </c>
      <c r="H552" s="171">
        <v>232.95367732799997</v>
      </c>
      <c r="I552" s="175">
        <f t="shared" si="40"/>
        <v>42190.397544577834</v>
      </c>
      <c r="J552" s="175">
        <f t="shared" si="38"/>
        <v>13759.771558315479</v>
      </c>
      <c r="K552" s="176">
        <f t="shared" si="39"/>
        <v>0.13893331677640672</v>
      </c>
    </row>
    <row r="553" spans="1:11" x14ac:dyDescent="0.2">
      <c r="A553" s="500"/>
      <c r="B553" s="500"/>
      <c r="C553" s="501"/>
      <c r="D553" s="501"/>
      <c r="E553" s="535"/>
      <c r="F553" s="179" t="s">
        <v>172</v>
      </c>
      <c r="G553" s="177">
        <v>326.13514825919998</v>
      </c>
      <c r="H553" s="171">
        <v>181.03828638061714</v>
      </c>
      <c r="I553" s="175">
        <f t="shared" si="40"/>
        <v>23505.831145414795</v>
      </c>
      <c r="J553" s="175">
        <f t="shared" si="38"/>
        <v>7666.0777255655748</v>
      </c>
      <c r="K553" s="176">
        <f t="shared" si="39"/>
        <v>8.3908918435801436E-2</v>
      </c>
    </row>
    <row r="554" spans="1:11" x14ac:dyDescent="0.2">
      <c r="A554" s="500"/>
      <c r="B554" s="500"/>
      <c r="C554" s="501"/>
      <c r="D554" s="501"/>
      <c r="E554" s="535"/>
      <c r="F554" s="179" t="s">
        <v>183</v>
      </c>
      <c r="G554" s="177">
        <v>186.36294186239999</v>
      </c>
      <c r="H554" s="171">
        <v>60.567956105279997</v>
      </c>
      <c r="I554" s="175">
        <f t="shared" si="40"/>
        <v>1853.3258568820927</v>
      </c>
      <c r="J554" s="175">
        <f t="shared" si="38"/>
        <v>345.39125891820009</v>
      </c>
      <c r="K554" s="176">
        <f t="shared" si="39"/>
        <v>5.3667955509057686E-3</v>
      </c>
    </row>
    <row r="555" spans="1:11" x14ac:dyDescent="0.2">
      <c r="A555" s="500"/>
      <c r="B555" s="500"/>
      <c r="C555" s="501"/>
      <c r="D555" s="501"/>
      <c r="E555" s="535"/>
      <c r="F555" s="179" t="s">
        <v>184</v>
      </c>
      <c r="G555" s="177">
        <v>93.181470931199996</v>
      </c>
      <c r="H555" s="171">
        <v>195.68108895552001</v>
      </c>
      <c r="I555" s="175">
        <f t="shared" si="40"/>
        <v>28154.094322552988</v>
      </c>
      <c r="J555" s="175">
        <f t="shared" si="38"/>
        <v>2623.4399217112341</v>
      </c>
      <c r="K555" s="176">
        <f t="shared" si="39"/>
        <v>2.8008956662123607E-2</v>
      </c>
    </row>
    <row r="556" spans="1:11" x14ac:dyDescent="0.2">
      <c r="A556" s="500"/>
      <c r="B556" s="500"/>
      <c r="C556" s="501"/>
      <c r="D556" s="501"/>
      <c r="E556" s="535"/>
      <c r="F556" s="179" t="s">
        <v>185</v>
      </c>
      <c r="G556" s="177">
        <v>46.590735465599998</v>
      </c>
      <c r="H556" s="171">
        <v>55.908882558720002</v>
      </c>
      <c r="I556" s="175">
        <f t="shared" si="40"/>
        <v>1539.2306346913992</v>
      </c>
      <c r="J556" s="175">
        <f t="shared" si="38"/>
        <v>71.713887321454578</v>
      </c>
      <c r="K556" s="176">
        <f t="shared" si="39"/>
        <v>1.1432227209030041E-3</v>
      </c>
    </row>
    <row r="557" spans="1:11" x14ac:dyDescent="0.2">
      <c r="A557" s="500"/>
      <c r="B557" s="500"/>
      <c r="C557" s="501"/>
      <c r="D557" s="501"/>
      <c r="E557" s="535"/>
      <c r="F557" s="179" t="s">
        <v>186</v>
      </c>
      <c r="G557" s="177">
        <v>139.77220639680002</v>
      </c>
      <c r="H557" s="171">
        <v>133.56010833472001</v>
      </c>
      <c r="I557" s="175">
        <f t="shared" si="40"/>
        <v>11606.955074388976</v>
      </c>
      <c r="J557" s="175">
        <f t="shared" si="38"/>
        <v>1622.3297202958811</v>
      </c>
      <c r="K557" s="176">
        <f t="shared" si="39"/>
        <v>1.9572396397681994E-2</v>
      </c>
    </row>
    <row r="558" spans="1:11" x14ac:dyDescent="0.2">
      <c r="A558" s="500"/>
      <c r="B558" s="500"/>
      <c r="C558" s="501"/>
      <c r="D558" s="501"/>
      <c r="E558" s="535"/>
      <c r="F558" s="179" t="s">
        <v>171</v>
      </c>
      <c r="G558" s="177">
        <v>186.36294186239999</v>
      </c>
      <c r="H558" s="171">
        <v>330.79422180575995</v>
      </c>
      <c r="I558" s="175">
        <f t="shared" si="40"/>
        <v>95174.932300746834</v>
      </c>
      <c r="J558" s="175">
        <f t="shared" si="38"/>
        <v>17737.080375121936</v>
      </c>
      <c r="K558" s="176">
        <f t="shared" si="39"/>
        <v>0.16008293711311225</v>
      </c>
    </row>
    <row r="559" spans="1:11" x14ac:dyDescent="0.2">
      <c r="A559" s="500"/>
      <c r="B559" s="500"/>
      <c r="C559" s="501"/>
      <c r="D559" s="501"/>
      <c r="E559" s="535"/>
      <c r="F559" s="179" t="s">
        <v>187</v>
      </c>
      <c r="G559" s="177">
        <v>46.590735465599998</v>
      </c>
      <c r="H559" s="171">
        <v>279.54441279360003</v>
      </c>
      <c r="I559" s="175">
        <f t="shared" si="40"/>
        <v>64404.187904845741</v>
      </c>
      <c r="J559" s="175">
        <f t="shared" si="38"/>
        <v>3000.638481551463</v>
      </c>
      <c r="K559" s="176">
        <f t="shared" si="39"/>
        <v>2.8580568022575106E-2</v>
      </c>
    </row>
    <row r="560" spans="1:11" x14ac:dyDescent="0.2">
      <c r="A560" s="500"/>
      <c r="B560" s="500"/>
      <c r="C560" s="501"/>
      <c r="D560" s="501"/>
      <c r="E560" s="535"/>
      <c r="F560" s="179" t="s">
        <v>188</v>
      </c>
      <c r="G560" s="177">
        <v>186.36294186239999</v>
      </c>
      <c r="H560" s="171">
        <v>228.29460378143997</v>
      </c>
      <c r="I560" s="175">
        <f t="shared" si="40"/>
        <v>40258.548557508868</v>
      </c>
      <c r="J560" s="175">
        <f t="shared" si="38"/>
        <v>7502.7015442876318</v>
      </c>
      <c r="K560" s="176">
        <f t="shared" si="39"/>
        <v>7.6246604246892002E-2</v>
      </c>
    </row>
    <row r="561" spans="1:11" x14ac:dyDescent="0.2">
      <c r="A561" s="500">
        <v>10</v>
      </c>
      <c r="B561" s="500"/>
      <c r="C561" s="501"/>
      <c r="D561" s="501" t="s">
        <v>35</v>
      </c>
      <c r="E561" s="535">
        <f>Assumptions!D70</f>
        <v>2860.4270000000001</v>
      </c>
      <c r="F561" s="179" t="s">
        <v>189</v>
      </c>
      <c r="G561" s="177">
        <v>93.181470931199996</v>
      </c>
      <c r="H561" s="171">
        <v>74.545176744960003</v>
      </c>
      <c r="I561" s="175">
        <f t="shared" si="40"/>
        <v>3000.278482366311</v>
      </c>
      <c r="J561" s="175">
        <f t="shared" si="38"/>
        <v>279.57036219012127</v>
      </c>
      <c r="K561" s="176">
        <f t="shared" si="39"/>
        <v>4.0647918965440151E-3</v>
      </c>
    </row>
    <row r="562" spans="1:11" x14ac:dyDescent="0.2">
      <c r="A562" s="500"/>
      <c r="B562" s="500"/>
      <c r="C562" s="501"/>
      <c r="D562" s="501"/>
      <c r="E562" s="535"/>
      <c r="F562" s="179" t="s">
        <v>190</v>
      </c>
      <c r="G562" s="177">
        <v>745.45176744959997</v>
      </c>
      <c r="H562" s="171">
        <v>65.227029651839999</v>
      </c>
      <c r="I562" s="175">
        <f t="shared" si="40"/>
        <v>2201.0010529193169</v>
      </c>
      <c r="J562" s="175">
        <f t="shared" si="38"/>
        <v>1640.7401250571352</v>
      </c>
      <c r="K562" s="176">
        <f t="shared" si="39"/>
        <v>2.4896850366332088E-2</v>
      </c>
    </row>
    <row r="563" spans="1:11" x14ac:dyDescent="0.2">
      <c r="A563" s="500"/>
      <c r="B563" s="500"/>
      <c r="C563" s="501"/>
      <c r="D563" s="501"/>
      <c r="E563" s="535"/>
      <c r="F563" s="179" t="s">
        <v>191</v>
      </c>
      <c r="G563" s="177">
        <v>93.181470931199996</v>
      </c>
      <c r="H563" s="171">
        <v>55.908882558720002</v>
      </c>
      <c r="I563" s="175">
        <f t="shared" si="40"/>
        <v>1539.2306346913992</v>
      </c>
      <c r="J563" s="175">
        <f t="shared" si="38"/>
        <v>143.42777464290916</v>
      </c>
      <c r="K563" s="176">
        <f t="shared" si="39"/>
        <v>2.2864454418060082E-3</v>
      </c>
    </row>
    <row r="564" spans="1:11" x14ac:dyDescent="0.2">
      <c r="A564" s="500"/>
      <c r="B564" s="500"/>
      <c r="C564" s="501"/>
      <c r="D564" s="501"/>
      <c r="E564" s="535"/>
      <c r="F564" s="179" t="s">
        <v>171</v>
      </c>
      <c r="G564" s="177">
        <v>372.72588372479998</v>
      </c>
      <c r="H564" s="171">
        <v>97.840544477760005</v>
      </c>
      <c r="I564" s="175">
        <f t="shared" si="40"/>
        <v>5638.3492231535502</v>
      </c>
      <c r="J564" s="175">
        <f t="shared" si="38"/>
        <v>2101.5586969489464</v>
      </c>
      <c r="K564" s="176">
        <f t="shared" si="39"/>
        <v>2.8008956662123607E-2</v>
      </c>
    </row>
    <row r="565" spans="1:11" x14ac:dyDescent="0.2">
      <c r="A565" s="500"/>
      <c r="B565" s="500"/>
      <c r="C565" s="501"/>
      <c r="D565" s="501"/>
      <c r="E565" s="535"/>
      <c r="F565" s="179" t="s">
        <v>188</v>
      </c>
      <c r="G565" s="177">
        <v>93.181470931199996</v>
      </c>
      <c r="H565" s="171">
        <v>167.72664767615998</v>
      </c>
      <c r="I565" s="175">
        <f t="shared" si="40"/>
        <v>19689.061218660514</v>
      </c>
      <c r="J565" s="175">
        <f t="shared" si="38"/>
        <v>1834.655685609232</v>
      </c>
      <c r="K565" s="176">
        <f t="shared" si="39"/>
        <v>2.0578008976254069E-2</v>
      </c>
    </row>
    <row r="566" spans="1:11" x14ac:dyDescent="0.2">
      <c r="A566" s="500">
        <v>11</v>
      </c>
      <c r="B566" s="500"/>
      <c r="C566" s="501"/>
      <c r="D566" s="501" t="s">
        <v>35</v>
      </c>
      <c r="E566" s="535">
        <f>Assumptions!D71</f>
        <v>9034.3230000000021</v>
      </c>
      <c r="F566" s="170" t="s">
        <v>192</v>
      </c>
      <c r="G566" s="177">
        <v>698.86103198400008</v>
      </c>
      <c r="H566" s="171">
        <v>78.427738033760022</v>
      </c>
      <c r="I566" s="175">
        <f t="shared" si="40"/>
        <v>3375.3428578693961</v>
      </c>
      <c r="J566" s="175">
        <f t="shared" si="38"/>
        <v>2358.8955929504305</v>
      </c>
      <c r="K566" s="176">
        <f t="shared" si="39"/>
        <v>3.3744256296098243E-2</v>
      </c>
    </row>
    <row r="567" spans="1:11" x14ac:dyDescent="0.2">
      <c r="A567" s="500"/>
      <c r="B567" s="500"/>
      <c r="C567" s="501"/>
      <c r="D567" s="501"/>
      <c r="E567" s="535"/>
      <c r="F567" s="170" t="s">
        <v>193</v>
      </c>
      <c r="G567" s="177">
        <v>349.43051599200004</v>
      </c>
      <c r="H567" s="171">
        <v>43.484686434560004</v>
      </c>
      <c r="I567" s="175">
        <f t="shared" si="40"/>
        <v>859.18864604176758</v>
      </c>
      <c r="J567" s="175">
        <f t="shared" si="38"/>
        <v>300.22673192084272</v>
      </c>
      <c r="K567" s="176">
        <f t="shared" si="39"/>
        <v>5.1868438263191867E-3</v>
      </c>
    </row>
    <row r="568" spans="1:11" x14ac:dyDescent="0.2">
      <c r="A568" s="500"/>
      <c r="B568" s="500"/>
      <c r="C568" s="501"/>
      <c r="D568" s="501"/>
      <c r="E568" s="535"/>
      <c r="F568" s="170" t="s">
        <v>190</v>
      </c>
      <c r="G568" s="177">
        <v>349.43051599200004</v>
      </c>
      <c r="H568" s="171">
        <v>121.13591221055999</v>
      </c>
      <c r="I568" s="175">
        <f t="shared" si="40"/>
        <v>9254.2531368606906</v>
      </c>
      <c r="J568" s="175">
        <f t="shared" si="38"/>
        <v>3233.7184487338159</v>
      </c>
      <c r="K568" s="176">
        <f t="shared" si="39"/>
        <v>4.025096663179327E-2</v>
      </c>
    </row>
    <row r="569" spans="1:11" x14ac:dyDescent="0.2">
      <c r="A569" s="500"/>
      <c r="B569" s="500"/>
      <c r="C569" s="501"/>
      <c r="D569" s="501"/>
      <c r="E569" s="535"/>
      <c r="F569" s="170" t="s">
        <v>186</v>
      </c>
      <c r="G569" s="177">
        <v>349.43051599200004</v>
      </c>
      <c r="H569" s="171">
        <v>62.12098062079999</v>
      </c>
      <c r="I569" s="175">
        <f t="shared" si="40"/>
        <v>1965.4458201149564</v>
      </c>
      <c r="J569" s="175">
        <f t="shared" si="38"/>
        <v>686.78674707708888</v>
      </c>
      <c r="K569" s="176">
        <f t="shared" si="39"/>
        <v>1.0585395563916702E-2</v>
      </c>
    </row>
    <row r="570" spans="1:11" x14ac:dyDescent="0.2">
      <c r="A570" s="500"/>
      <c r="B570" s="500"/>
      <c r="C570" s="501"/>
      <c r="D570" s="501"/>
      <c r="E570" s="535"/>
      <c r="F570" s="170" t="s">
        <v>194</v>
      </c>
      <c r="G570" s="177">
        <v>1048.2915479759997</v>
      </c>
      <c r="H570" s="171">
        <v>148.05500381290668</v>
      </c>
      <c r="I570" s="175">
        <f t="shared" si="40"/>
        <v>14741.096271366951</v>
      </c>
      <c r="J570" s="175">
        <f t="shared" si="38"/>
        <v>15452.966629174498</v>
      </c>
      <c r="K570" s="176">
        <f t="shared" si="39"/>
        <v>0.18038396157211056</v>
      </c>
    </row>
    <row r="571" spans="1:11" x14ac:dyDescent="0.2">
      <c r="A571" s="500"/>
      <c r="B571" s="500"/>
      <c r="C571" s="501"/>
      <c r="D571" s="501"/>
      <c r="E571" s="535"/>
      <c r="F571" s="170" t="s">
        <v>195</v>
      </c>
      <c r="G571" s="177">
        <v>116.47683866399998</v>
      </c>
      <c r="H571" s="171">
        <v>46.590735465599998</v>
      </c>
      <c r="I571" s="175">
        <f t="shared" si="40"/>
        <v>1008.3312048957108</v>
      </c>
      <c r="J571" s="175">
        <f t="shared" si="38"/>
        <v>117.44723107251443</v>
      </c>
      <c r="K571" s="176">
        <f t="shared" si="39"/>
        <v>1.9847616682343821E-3</v>
      </c>
    </row>
    <row r="572" spans="1:11" x14ac:dyDescent="0.2">
      <c r="A572" s="500"/>
      <c r="B572" s="500"/>
      <c r="C572" s="501"/>
      <c r="D572" s="501"/>
      <c r="E572" s="535"/>
      <c r="F572" s="170" t="s">
        <v>196</v>
      </c>
      <c r="G572" s="177">
        <v>116.47683866399998</v>
      </c>
      <c r="H572" s="171">
        <v>139.77220639680002</v>
      </c>
      <c r="I572" s="175">
        <f t="shared" si="40"/>
        <v>12898.063730298451</v>
      </c>
      <c r="J572" s="175">
        <f t="shared" si="38"/>
        <v>1502.3256881919624</v>
      </c>
      <c r="K572" s="176">
        <f t="shared" si="39"/>
        <v>1.786285501410944E-2</v>
      </c>
    </row>
    <row r="573" spans="1:11" x14ac:dyDescent="0.2">
      <c r="A573" s="500"/>
      <c r="B573" s="500"/>
      <c r="C573" s="501"/>
      <c r="D573" s="501"/>
      <c r="E573" s="535"/>
      <c r="F573" s="170" t="s">
        <v>197</v>
      </c>
      <c r="G573" s="177">
        <v>116.47683866399998</v>
      </c>
      <c r="H573" s="171">
        <v>93.181470931199996</v>
      </c>
      <c r="I573" s="175">
        <f t="shared" si="40"/>
        <v>5034.9225859283533</v>
      </c>
      <c r="J573" s="175">
        <f t="shared" si="38"/>
        <v>586.45186572690648</v>
      </c>
      <c r="K573" s="176">
        <f t="shared" si="39"/>
        <v>7.9390466729375286E-3</v>
      </c>
    </row>
    <row r="574" spans="1:11" x14ac:dyDescent="0.2">
      <c r="A574" s="500"/>
      <c r="B574" s="500"/>
      <c r="C574" s="501"/>
      <c r="D574" s="501"/>
      <c r="E574" s="535"/>
      <c r="F574" s="179" t="s">
        <v>182</v>
      </c>
      <c r="G574" s="177">
        <v>314.95337174745595</v>
      </c>
      <c r="H574" s="171">
        <v>260.90811860736</v>
      </c>
      <c r="I574" s="175">
        <f t="shared" si="40"/>
        <v>54878.145927366291</v>
      </c>
      <c r="J574" s="175">
        <f t="shared" si="38"/>
        <v>17284.057095072934</v>
      </c>
      <c r="K574" s="176">
        <f t="shared" si="39"/>
        <v>0.16830270847640488</v>
      </c>
    </row>
    <row r="575" spans="1:11" x14ac:dyDescent="0.2">
      <c r="A575" s="500"/>
      <c r="B575" s="500"/>
      <c r="C575" s="501"/>
      <c r="D575" s="501"/>
      <c r="E575" s="535"/>
      <c r="F575" s="179" t="s">
        <v>187</v>
      </c>
      <c r="G575" s="177">
        <v>116.47683866399998</v>
      </c>
      <c r="H575" s="171">
        <v>559.08882558720006</v>
      </c>
      <c r="I575" s="175">
        <f t="shared" si="40"/>
        <v>321590.86095527507</v>
      </c>
      <c r="J575" s="175">
        <f t="shared" si="38"/>
        <v>37457.886827304421</v>
      </c>
      <c r="K575" s="176">
        <f t="shared" si="39"/>
        <v>0.28580568022575104</v>
      </c>
    </row>
    <row r="576" spans="1:11" x14ac:dyDescent="0.2">
      <c r="A576" s="500"/>
      <c r="B576" s="500"/>
      <c r="C576" s="501"/>
      <c r="D576" s="501"/>
      <c r="E576" s="535"/>
      <c r="F576" s="170" t="s">
        <v>198</v>
      </c>
      <c r="G576" s="177">
        <v>46.590735465599998</v>
      </c>
      <c r="H576" s="171">
        <v>186.36294186239999</v>
      </c>
      <c r="I576" s="175">
        <f t="shared" si="40"/>
        <v>25140.990701476258</v>
      </c>
      <c r="J576" s="175">
        <f t="shared" si="38"/>
        <v>1171.3372471155897</v>
      </c>
      <c r="K576" s="176">
        <f t="shared" si="39"/>
        <v>1.2702474676700047E-2</v>
      </c>
    </row>
    <row r="577" spans="1:11" x14ac:dyDescent="0.2">
      <c r="A577" s="500"/>
      <c r="B577" s="500"/>
      <c r="C577" s="501"/>
      <c r="D577" s="501"/>
      <c r="E577" s="535"/>
      <c r="F577" s="170" t="s">
        <v>173</v>
      </c>
      <c r="G577" s="177">
        <v>46.590735465599998</v>
      </c>
      <c r="H577" s="171">
        <v>55.908882558720002</v>
      </c>
      <c r="I577" s="175">
        <f t="shared" si="40"/>
        <v>1539.2306346913992</v>
      </c>
      <c r="J577" s="175">
        <f t="shared" si="38"/>
        <v>71.713887321454578</v>
      </c>
      <c r="K577" s="176">
        <f t="shared" si="39"/>
        <v>1.1432227209030041E-3</v>
      </c>
    </row>
    <row r="578" spans="1:11" x14ac:dyDescent="0.2">
      <c r="A578" s="500"/>
      <c r="B578" s="500"/>
      <c r="C578" s="501"/>
      <c r="D578" s="501"/>
      <c r="E578" s="535"/>
      <c r="F578" s="170" t="s">
        <v>199</v>
      </c>
      <c r="G578" s="177">
        <v>186.36294186239999</v>
      </c>
      <c r="H578" s="171">
        <v>135.11313285023999</v>
      </c>
      <c r="I578" s="175">
        <f t="shared" si="40"/>
        <v>11922.478904316535</v>
      </c>
      <c r="J578" s="175">
        <f t="shared" si="38"/>
        <v>2221.9082429008326</v>
      </c>
      <c r="K578" s="176">
        <f t="shared" si="39"/>
        <v>2.6706953007761845E-2</v>
      </c>
    </row>
    <row r="579" spans="1:11" x14ac:dyDescent="0.2">
      <c r="A579" s="500"/>
      <c r="B579" s="500"/>
      <c r="C579" s="501"/>
      <c r="D579" s="501"/>
      <c r="E579" s="535"/>
      <c r="F579" s="170" t="s">
        <v>172</v>
      </c>
      <c r="G579" s="177">
        <v>60</v>
      </c>
      <c r="H579" s="171">
        <v>628.97492878560001</v>
      </c>
      <c r="I579" s="175">
        <f t="shared" si="40"/>
        <v>422646.76624168205</v>
      </c>
      <c r="J579" s="175">
        <f t="shared" si="38"/>
        <v>25358.805974500923</v>
      </c>
      <c r="K579" s="176">
        <f t="shared" si="39"/>
        <v>0.18633205615024065</v>
      </c>
    </row>
    <row r="580" spans="1:11" x14ac:dyDescent="0.2">
      <c r="A580" s="162">
        <v>12</v>
      </c>
      <c r="B580" s="75"/>
      <c r="C580" s="75"/>
      <c r="D580" s="75" t="s">
        <v>37</v>
      </c>
      <c r="E580" s="481">
        <f>Assumptions!D72</f>
        <v>2315.3180000000002</v>
      </c>
      <c r="F580" s="170" t="s">
        <v>323</v>
      </c>
      <c r="G580" s="177">
        <v>0</v>
      </c>
      <c r="H580" s="171">
        <v>0</v>
      </c>
      <c r="I580" s="175">
        <v>0</v>
      </c>
      <c r="J580" s="175">
        <f t="shared" si="38"/>
        <v>0</v>
      </c>
      <c r="K580" s="176">
        <f t="shared" si="39"/>
        <v>0</v>
      </c>
    </row>
    <row r="581" spans="1:11" x14ac:dyDescent="0.2">
      <c r="A581" s="500">
        <v>13</v>
      </c>
      <c r="B581" s="500"/>
      <c r="C581" s="501"/>
      <c r="D581" s="501" t="s">
        <v>35</v>
      </c>
      <c r="E581" s="535">
        <f>Assumptions!D73</f>
        <v>5717.201</v>
      </c>
      <c r="F581" s="179" t="s">
        <v>188</v>
      </c>
      <c r="G581" s="177">
        <v>46.590735465599998</v>
      </c>
      <c r="H581" s="171">
        <v>177.04479476928</v>
      </c>
      <c r="I581" s="175">
        <f t="shared" si="40"/>
        <v>22320.357776199719</v>
      </c>
      <c r="J581" s="175">
        <f t="shared" si="38"/>
        <v>1039.9218846484689</v>
      </c>
      <c r="K581" s="176">
        <f t="shared" si="39"/>
        <v>1.1463983395721791E-2</v>
      </c>
    </row>
    <row r="582" spans="1:11" x14ac:dyDescent="0.2">
      <c r="A582" s="500"/>
      <c r="B582" s="500"/>
      <c r="C582" s="501"/>
      <c r="D582" s="501"/>
      <c r="E582" s="535"/>
      <c r="F582" s="179" t="s">
        <v>182</v>
      </c>
      <c r="G582" s="177">
        <v>46.590735465599998</v>
      </c>
      <c r="H582" s="171">
        <v>186.36294186239999</v>
      </c>
      <c r="I582" s="175">
        <f t="shared" si="40"/>
        <v>25140.990701476258</v>
      </c>
      <c r="J582" s="175">
        <f t="shared" si="38"/>
        <v>1171.3372471155897</v>
      </c>
      <c r="K582" s="176">
        <f t="shared" si="39"/>
        <v>1.2702474676700047E-2</v>
      </c>
    </row>
    <row r="583" spans="1:11" x14ac:dyDescent="0.2">
      <c r="A583" s="500"/>
      <c r="B583" s="500"/>
      <c r="C583" s="501"/>
      <c r="D583" s="501"/>
      <c r="E583" s="535"/>
      <c r="F583" s="179" t="s">
        <v>171</v>
      </c>
      <c r="G583" s="177">
        <v>139.77220639680002</v>
      </c>
      <c r="H583" s="171">
        <v>291.96860891776004</v>
      </c>
      <c r="I583" s="175">
        <f t="shared" si="40"/>
        <v>71240.688313737177</v>
      </c>
      <c r="J583" s="175">
        <f t="shared" ref="J583:J618" si="41">(I583*G583)/1000</f>
        <v>9957.4681908377715</v>
      </c>
      <c r="K583" s="176">
        <f t="shared" ref="K583:K618" si="42">0.00000001*3.14*(H583/2)^2*G583</f>
        <v>9.3532555202768042E-2</v>
      </c>
    </row>
    <row r="584" spans="1:11" x14ac:dyDescent="0.2">
      <c r="A584" s="500"/>
      <c r="B584" s="500"/>
      <c r="C584" s="501"/>
      <c r="D584" s="501"/>
      <c r="E584" s="535"/>
      <c r="F584" s="179" t="s">
        <v>172</v>
      </c>
      <c r="G584" s="177">
        <v>559.08882558720006</v>
      </c>
      <c r="H584" s="171">
        <v>266.34370441167999</v>
      </c>
      <c r="I584" s="175">
        <f t="shared" ref="I584:I618" si="43">EXP(-1.996+2.32*LN(H584))</f>
        <v>57567.141510177738</v>
      </c>
      <c r="J584" s="175">
        <f t="shared" si="41"/>
        <v>32185.145539337427</v>
      </c>
      <c r="K584" s="176">
        <f t="shared" si="42"/>
        <v>0.31134030067480911</v>
      </c>
    </row>
    <row r="585" spans="1:11" x14ac:dyDescent="0.2">
      <c r="A585" s="500">
        <v>14</v>
      </c>
      <c r="B585" s="500"/>
      <c r="C585" s="501"/>
      <c r="D585" s="501" t="s">
        <v>35</v>
      </c>
      <c r="E585" s="535">
        <f>Assumptions!D74</f>
        <v>3768.0449999999996</v>
      </c>
      <c r="F585" s="179" t="s">
        <v>201</v>
      </c>
      <c r="G585" s="177">
        <v>93.181470931199996</v>
      </c>
      <c r="H585" s="171">
        <v>93.181470931199996</v>
      </c>
      <c r="I585" s="175">
        <f t="shared" si="43"/>
        <v>5034.9225859283533</v>
      </c>
      <c r="J585" s="175">
        <f t="shared" si="41"/>
        <v>469.16149258152518</v>
      </c>
      <c r="K585" s="176">
        <f t="shared" si="42"/>
        <v>6.3512373383500234E-3</v>
      </c>
    </row>
    <row r="586" spans="1:11" x14ac:dyDescent="0.2">
      <c r="A586" s="500"/>
      <c r="B586" s="500"/>
      <c r="C586" s="501"/>
      <c r="D586" s="501"/>
      <c r="E586" s="535"/>
      <c r="F586" s="179" t="s">
        <v>200</v>
      </c>
      <c r="G586" s="177">
        <v>1490.9035348991999</v>
      </c>
      <c r="H586" s="171">
        <v>65.809413845160009</v>
      </c>
      <c r="I586" s="175">
        <f t="shared" si="43"/>
        <v>2246.8621411873273</v>
      </c>
      <c r="J586" s="175">
        <f t="shared" si="41"/>
        <v>3349.8547087273714</v>
      </c>
      <c r="K586" s="176">
        <f t="shared" si="42"/>
        <v>5.0686843483369666E-2</v>
      </c>
    </row>
    <row r="587" spans="1:11" x14ac:dyDescent="0.2">
      <c r="A587" s="500"/>
      <c r="B587" s="500"/>
      <c r="C587" s="501"/>
      <c r="D587" s="501"/>
      <c r="E587" s="535"/>
      <c r="F587" s="179" t="s">
        <v>171</v>
      </c>
      <c r="G587" s="177">
        <v>372.72588372479998</v>
      </c>
      <c r="H587" s="171">
        <v>116.47683866399998</v>
      </c>
      <c r="I587" s="175">
        <f t="shared" si="43"/>
        <v>8449.3641491231156</v>
      </c>
      <c r="J587" s="175">
        <f t="shared" si="41"/>
        <v>3149.2967193945556</v>
      </c>
      <c r="K587" s="176">
        <f t="shared" si="42"/>
        <v>3.9695233364687631E-2</v>
      </c>
    </row>
    <row r="588" spans="1:11" x14ac:dyDescent="0.2">
      <c r="A588" s="500">
        <v>15</v>
      </c>
      <c r="B588" s="500"/>
      <c r="C588" s="501"/>
      <c r="D588" s="501" t="s">
        <v>34</v>
      </c>
      <c r="E588" s="535">
        <f>Assumptions!D75</f>
        <v>236.66199999999998</v>
      </c>
      <c r="F588" s="179" t="s">
        <v>292</v>
      </c>
      <c r="G588" s="177">
        <v>51.249809012159993</v>
      </c>
      <c r="H588" s="171">
        <v>74.545176744960003</v>
      </c>
      <c r="I588" s="175">
        <f t="shared" si="43"/>
        <v>3000.278482366311</v>
      </c>
      <c r="J588" s="175">
        <f t="shared" si="41"/>
        <v>153.76369920456668</v>
      </c>
      <c r="K588" s="176">
        <f t="shared" si="42"/>
        <v>2.2356355430992081E-3</v>
      </c>
    </row>
    <row r="589" spans="1:11" x14ac:dyDescent="0.2">
      <c r="A589" s="500"/>
      <c r="B589" s="500"/>
      <c r="C589" s="501"/>
      <c r="D589" s="501"/>
      <c r="E589" s="535"/>
      <c r="F589" s="179" t="s">
        <v>293</v>
      </c>
      <c r="G589" s="177">
        <v>122.99954162918399</v>
      </c>
      <c r="H589" s="171">
        <v>290.72618930534401</v>
      </c>
      <c r="I589" s="175">
        <f t="shared" si="43"/>
        <v>70539.350349486107</v>
      </c>
      <c r="J589" s="175">
        <f t="shared" si="41"/>
        <v>8676.3077598072105</v>
      </c>
      <c r="K589" s="176">
        <f t="shared" si="42"/>
        <v>8.1609639865293487E-2</v>
      </c>
    </row>
    <row r="590" spans="1:11" x14ac:dyDescent="0.2">
      <c r="A590" s="162">
        <v>16</v>
      </c>
      <c r="B590" s="162"/>
      <c r="C590" s="170"/>
      <c r="D590" s="170" t="s">
        <v>35</v>
      </c>
      <c r="E590" s="171">
        <f>Assumptions!D76</f>
        <v>6640.8160000000016</v>
      </c>
      <c r="F590" s="179" t="s">
        <v>323</v>
      </c>
      <c r="G590" s="177">
        <v>0</v>
      </c>
      <c r="H590" s="171">
        <v>0</v>
      </c>
      <c r="I590" s="175">
        <v>0</v>
      </c>
      <c r="J590" s="175">
        <f t="shared" si="41"/>
        <v>0</v>
      </c>
      <c r="K590" s="176">
        <f t="shared" si="42"/>
        <v>0</v>
      </c>
    </row>
    <row r="591" spans="1:11" x14ac:dyDescent="0.2">
      <c r="A591" s="162">
        <v>17</v>
      </c>
      <c r="B591" s="75"/>
      <c r="C591" s="75"/>
      <c r="D591" s="75" t="s">
        <v>36</v>
      </c>
      <c r="E591" s="481">
        <f>Assumptions!D77</f>
        <v>837.08299999999997</v>
      </c>
      <c r="F591" s="179" t="s">
        <v>323</v>
      </c>
      <c r="G591" s="177">
        <v>0</v>
      </c>
      <c r="H591" s="171">
        <v>0</v>
      </c>
      <c r="I591" s="175">
        <v>0</v>
      </c>
      <c r="J591" s="175">
        <f t="shared" si="41"/>
        <v>0</v>
      </c>
      <c r="K591" s="176">
        <f t="shared" si="42"/>
        <v>0</v>
      </c>
    </row>
    <row r="592" spans="1:11" x14ac:dyDescent="0.2">
      <c r="A592" s="500">
        <v>18</v>
      </c>
      <c r="B592" s="500"/>
      <c r="C592" s="501"/>
      <c r="D592" s="501" t="s">
        <v>34</v>
      </c>
      <c r="E592" s="535">
        <f>Assumptions!D78</f>
        <v>1849.3409999999997</v>
      </c>
      <c r="F592" s="173" t="s">
        <v>308</v>
      </c>
      <c r="G592" s="178">
        <v>931.81470931199988</v>
      </c>
      <c r="H592" s="171">
        <v>61.499770814591997</v>
      </c>
      <c r="I592" s="175">
        <f t="shared" si="43"/>
        <v>1920.1481045923692</v>
      </c>
      <c r="J592" s="175">
        <f t="shared" si="41"/>
        <v>1789.2222479167262</v>
      </c>
      <c r="K592" s="176">
        <f t="shared" si="42"/>
        <v>2.7665989845852692E-2</v>
      </c>
    </row>
    <row r="593" spans="1:11" x14ac:dyDescent="0.2">
      <c r="A593" s="500"/>
      <c r="B593" s="500"/>
      <c r="C593" s="501"/>
      <c r="D593" s="501"/>
      <c r="E593" s="535"/>
      <c r="F593" s="173" t="s">
        <v>309</v>
      </c>
      <c r="G593" s="178">
        <v>232.95367732799997</v>
      </c>
      <c r="H593" s="171">
        <v>70.817917907712001</v>
      </c>
      <c r="I593" s="175">
        <f t="shared" si="43"/>
        <v>2663.6694611528305</v>
      </c>
      <c r="J593" s="175">
        <f t="shared" si="41"/>
        <v>620.51159616184395</v>
      </c>
      <c r="K593" s="176">
        <f t="shared" si="42"/>
        <v>9.1711867165774324E-3</v>
      </c>
    </row>
    <row r="594" spans="1:11" x14ac:dyDescent="0.2">
      <c r="A594" s="500"/>
      <c r="B594" s="500"/>
      <c r="C594" s="501"/>
      <c r="D594" s="501"/>
      <c r="E594" s="535"/>
      <c r="F594" s="173" t="s">
        <v>310</v>
      </c>
      <c r="G594" s="178">
        <v>46.590735465599998</v>
      </c>
      <c r="H594" s="171">
        <v>74.545176744960003</v>
      </c>
      <c r="I594" s="175">
        <f t="shared" si="43"/>
        <v>3000.278482366311</v>
      </c>
      <c r="J594" s="175">
        <f t="shared" si="41"/>
        <v>139.78518109506064</v>
      </c>
      <c r="K594" s="176">
        <f t="shared" si="42"/>
        <v>2.0323959482720076E-3</v>
      </c>
    </row>
    <row r="595" spans="1:11" x14ac:dyDescent="0.2">
      <c r="A595" s="500"/>
      <c r="B595" s="500"/>
      <c r="C595" s="501"/>
      <c r="D595" s="501"/>
      <c r="E595" s="535"/>
      <c r="F595" s="173" t="s">
        <v>185</v>
      </c>
      <c r="G595" s="178">
        <v>46.590735465599998</v>
      </c>
      <c r="H595" s="171">
        <v>93.181470931199996</v>
      </c>
      <c r="I595" s="175">
        <f t="shared" si="43"/>
        <v>5034.9225859283533</v>
      </c>
      <c r="J595" s="175">
        <f t="shared" si="41"/>
        <v>234.58074629076259</v>
      </c>
      <c r="K595" s="176">
        <f t="shared" si="42"/>
        <v>3.1756186691750117E-3</v>
      </c>
    </row>
    <row r="596" spans="1:11" x14ac:dyDescent="0.2">
      <c r="A596" s="500"/>
      <c r="B596" s="500"/>
      <c r="C596" s="501"/>
      <c r="D596" s="501"/>
      <c r="E596" s="535"/>
      <c r="F596" s="173" t="s">
        <v>311</v>
      </c>
      <c r="G596" s="178">
        <v>232.95367732799997</v>
      </c>
      <c r="H596" s="171">
        <v>65.227029651839999</v>
      </c>
      <c r="I596" s="175">
        <f t="shared" si="43"/>
        <v>2201.0010529193169</v>
      </c>
      <c r="J596" s="175">
        <f t="shared" si="41"/>
        <v>512.73128908035471</v>
      </c>
      <c r="K596" s="176">
        <f t="shared" si="42"/>
        <v>7.7802657394787766E-3</v>
      </c>
    </row>
    <row r="597" spans="1:11" x14ac:dyDescent="0.2">
      <c r="A597" s="500"/>
      <c r="B597" s="500"/>
      <c r="C597" s="501"/>
      <c r="D597" s="501"/>
      <c r="E597" s="535"/>
      <c r="F597" s="173" t="s">
        <v>295</v>
      </c>
      <c r="G597" s="178">
        <v>93.181470931199996</v>
      </c>
      <c r="H597" s="171">
        <v>79.204250291519998</v>
      </c>
      <c r="I597" s="175">
        <f t="shared" si="43"/>
        <v>3453.38266892518</v>
      </c>
      <c r="J597" s="175">
        <f t="shared" si="41"/>
        <v>321.79127677876153</v>
      </c>
      <c r="K597" s="176">
        <f t="shared" si="42"/>
        <v>4.5887689769578913E-3</v>
      </c>
    </row>
    <row r="598" spans="1:11" x14ac:dyDescent="0.2">
      <c r="A598" s="500"/>
      <c r="B598" s="500"/>
      <c r="C598" s="501"/>
      <c r="D598" s="501"/>
      <c r="E598" s="535"/>
      <c r="F598" s="173" t="s">
        <v>312</v>
      </c>
      <c r="G598" s="178">
        <v>931.81470931199988</v>
      </c>
      <c r="H598" s="171">
        <v>74.545176744960003</v>
      </c>
      <c r="I598" s="175">
        <f t="shared" si="43"/>
        <v>3000.278482366311</v>
      </c>
      <c r="J598" s="175">
        <f t="shared" si="41"/>
        <v>2795.703621901212</v>
      </c>
      <c r="K598" s="176">
        <f t="shared" si="42"/>
        <v>4.064791896544015E-2</v>
      </c>
    </row>
    <row r="599" spans="1:11" x14ac:dyDescent="0.2">
      <c r="A599" s="500"/>
      <c r="B599" s="500"/>
      <c r="C599" s="501"/>
      <c r="D599" s="501"/>
      <c r="E599" s="535"/>
      <c r="F599" s="173" t="s">
        <v>313</v>
      </c>
      <c r="G599" s="178">
        <v>232.95367732799997</v>
      </c>
      <c r="H599" s="171">
        <v>177.04479476928</v>
      </c>
      <c r="I599" s="175">
        <f t="shared" si="43"/>
        <v>22320.357776199719</v>
      </c>
      <c r="J599" s="175">
        <f t="shared" si="41"/>
        <v>5199.6094232423447</v>
      </c>
      <c r="K599" s="176">
        <f t="shared" si="42"/>
        <v>5.7319916978608956E-2</v>
      </c>
    </row>
    <row r="600" spans="1:11" x14ac:dyDescent="0.2">
      <c r="A600" s="500"/>
      <c r="B600" s="500"/>
      <c r="C600" s="501"/>
      <c r="D600" s="501"/>
      <c r="E600" s="535"/>
      <c r="F600" s="173" t="s">
        <v>314</v>
      </c>
      <c r="G600" s="178">
        <v>139.77220639680002</v>
      </c>
      <c r="H600" s="171">
        <v>105.29506215225599</v>
      </c>
      <c r="I600" s="175">
        <f t="shared" si="43"/>
        <v>6685.5137501621293</v>
      </c>
      <c r="J600" s="175">
        <f t="shared" si="41"/>
        <v>934.4490077563056</v>
      </c>
      <c r="K600" s="176">
        <f t="shared" si="42"/>
        <v>1.2164842436008716E-2</v>
      </c>
    </row>
    <row r="601" spans="1:11" x14ac:dyDescent="0.2">
      <c r="A601" s="500"/>
      <c r="B601" s="500"/>
      <c r="C601" s="501"/>
      <c r="D601" s="501"/>
      <c r="E601" s="535"/>
      <c r="F601" s="173" t="s">
        <v>315</v>
      </c>
      <c r="G601" s="178">
        <v>1024.9961802432001</v>
      </c>
      <c r="H601" s="171">
        <v>294.45344814259198</v>
      </c>
      <c r="I601" s="175">
        <f t="shared" si="43"/>
        <v>72655.221170941819</v>
      </c>
      <c r="J601" s="175">
        <f t="shared" si="41"/>
        <v>74471.324174940237</v>
      </c>
      <c r="K601" s="176">
        <f t="shared" si="42"/>
        <v>0.69763007122410792</v>
      </c>
    </row>
    <row r="602" spans="1:11" x14ac:dyDescent="0.2">
      <c r="A602" s="500"/>
      <c r="B602" s="500"/>
      <c r="C602" s="501"/>
      <c r="D602" s="501"/>
      <c r="E602" s="535"/>
      <c r="F602" s="173" t="s">
        <v>316</v>
      </c>
      <c r="G602" s="178">
        <v>232.95367732799997</v>
      </c>
      <c r="H602" s="171">
        <v>288.86255988672002</v>
      </c>
      <c r="I602" s="175">
        <f t="shared" si="43"/>
        <v>69494.73883737337</v>
      </c>
      <c r="J602" s="175">
        <f t="shared" si="41"/>
        <v>16189.054967115104</v>
      </c>
      <c r="K602" s="176">
        <f t="shared" si="42"/>
        <v>0.15258847705385931</v>
      </c>
    </row>
    <row r="603" spans="1:11" x14ac:dyDescent="0.2">
      <c r="A603" s="500"/>
      <c r="B603" s="500"/>
      <c r="C603" s="501"/>
      <c r="D603" s="501"/>
      <c r="E603" s="535"/>
      <c r="F603" s="173" t="s">
        <v>317</v>
      </c>
      <c r="G603" s="178">
        <v>232.95367732799997</v>
      </c>
      <c r="H603" s="171">
        <v>287.93074517740797</v>
      </c>
      <c r="I603" s="175">
        <f t="shared" si="43"/>
        <v>68975.756085426037</v>
      </c>
      <c r="J603" s="175">
        <f t="shared" si="41"/>
        <v>16068.156026579167</v>
      </c>
      <c r="K603" s="176">
        <f t="shared" si="42"/>
        <v>0.1516056230757496</v>
      </c>
    </row>
    <row r="604" spans="1:11" x14ac:dyDescent="0.2">
      <c r="A604" s="500"/>
      <c r="B604" s="500"/>
      <c r="C604" s="501"/>
      <c r="D604" s="501"/>
      <c r="E604" s="535"/>
      <c r="F604" s="173" t="s">
        <v>172</v>
      </c>
      <c r="G604" s="178">
        <v>512.49809012160006</v>
      </c>
      <c r="H604" s="171">
        <v>169.590277094784</v>
      </c>
      <c r="I604" s="175">
        <f t="shared" si="43"/>
        <v>20200.327828115674</v>
      </c>
      <c r="J604" s="175">
        <f t="shared" si="41"/>
        <v>10352.629431739493</v>
      </c>
      <c r="K604" s="176">
        <f t="shared" si="42"/>
        <v>0.11570811207752839</v>
      </c>
    </row>
    <row r="605" spans="1:11" x14ac:dyDescent="0.2">
      <c r="A605" s="500"/>
      <c r="B605" s="500"/>
      <c r="C605" s="501"/>
      <c r="D605" s="501"/>
      <c r="E605" s="535"/>
      <c r="F605" s="173" t="s">
        <v>318</v>
      </c>
      <c r="G605" s="178">
        <v>489.20272238879994</v>
      </c>
      <c r="H605" s="171">
        <v>158.40850058304</v>
      </c>
      <c r="I605" s="175">
        <f t="shared" si="43"/>
        <v>17243.85233066673</v>
      </c>
      <c r="J605" s="175">
        <f t="shared" si="41"/>
        <v>8435.7395046326164</v>
      </c>
      <c r="K605" s="176">
        <f t="shared" si="42"/>
        <v>9.6364148516115702E-2</v>
      </c>
    </row>
    <row r="606" spans="1:11" x14ac:dyDescent="0.2">
      <c r="A606" s="500"/>
      <c r="B606" s="500"/>
      <c r="C606" s="501"/>
      <c r="D606" s="501"/>
      <c r="E606" s="535"/>
      <c r="F606" s="173" t="s">
        <v>319</v>
      </c>
      <c r="G606" s="178">
        <v>209.65830959519997</v>
      </c>
      <c r="H606" s="171">
        <v>260.90811860736</v>
      </c>
      <c r="I606" s="175">
        <f t="shared" si="43"/>
        <v>54878.145927366291</v>
      </c>
      <c r="J606" s="175">
        <f t="shared" si="41"/>
        <v>11505.659308850323</v>
      </c>
      <c r="K606" s="176">
        <f t="shared" si="42"/>
        <v>0.11203582664849437</v>
      </c>
    </row>
    <row r="607" spans="1:11" x14ac:dyDescent="0.2">
      <c r="A607" s="500"/>
      <c r="B607" s="500"/>
      <c r="C607" s="501"/>
      <c r="D607" s="501"/>
      <c r="E607" s="535"/>
      <c r="F607" s="173" t="s">
        <v>320</v>
      </c>
      <c r="G607" s="178">
        <v>46.590735465599998</v>
      </c>
      <c r="H607" s="171">
        <v>288.86255988672002</v>
      </c>
      <c r="I607" s="175">
        <f t="shared" si="43"/>
        <v>69494.73883737337</v>
      </c>
      <c r="J607" s="175">
        <f t="shared" si="41"/>
        <v>3237.810993423021</v>
      </c>
      <c r="K607" s="176">
        <f t="shared" si="42"/>
        <v>3.0517695410771865E-2</v>
      </c>
    </row>
    <row r="608" spans="1:11" x14ac:dyDescent="0.2">
      <c r="A608" s="162">
        <v>19</v>
      </c>
      <c r="B608" s="75"/>
      <c r="C608" s="180"/>
      <c r="D608" s="180" t="s">
        <v>37</v>
      </c>
      <c r="E608" s="481">
        <f>Assumptions!D79</f>
        <v>7884.7310000000007</v>
      </c>
      <c r="F608" s="173" t="s">
        <v>323</v>
      </c>
      <c r="G608" s="177">
        <v>0</v>
      </c>
      <c r="H608" s="171">
        <v>0</v>
      </c>
      <c r="I608" s="175">
        <v>0</v>
      </c>
      <c r="J608" s="175">
        <f t="shared" si="41"/>
        <v>0</v>
      </c>
      <c r="K608" s="176">
        <f t="shared" si="42"/>
        <v>0</v>
      </c>
    </row>
    <row r="609" spans="1:11" x14ac:dyDescent="0.2">
      <c r="A609" s="162">
        <v>20</v>
      </c>
      <c r="B609" s="75"/>
      <c r="C609" s="180"/>
      <c r="D609" s="180" t="s">
        <v>36</v>
      </c>
      <c r="E609" s="481">
        <f>Assumptions!D80</f>
        <v>2195.1750000000002</v>
      </c>
      <c r="F609" s="173" t="s">
        <v>323</v>
      </c>
      <c r="G609" s="177">
        <v>0</v>
      </c>
      <c r="H609" s="171">
        <v>0</v>
      </c>
      <c r="I609" s="175">
        <v>0</v>
      </c>
      <c r="J609" s="175">
        <f t="shared" si="41"/>
        <v>0</v>
      </c>
      <c r="K609" s="176">
        <f t="shared" si="42"/>
        <v>0</v>
      </c>
    </row>
    <row r="610" spans="1:11" x14ac:dyDescent="0.2">
      <c r="A610" s="162">
        <v>21</v>
      </c>
      <c r="B610" s="75"/>
      <c r="C610" s="180"/>
      <c r="D610" s="180" t="s">
        <v>37</v>
      </c>
      <c r="E610" s="481">
        <f>Assumptions!D81</f>
        <v>454.25200000000001</v>
      </c>
      <c r="F610" s="173" t="s">
        <v>323</v>
      </c>
      <c r="G610" s="177">
        <v>0</v>
      </c>
      <c r="H610" s="171">
        <v>0</v>
      </c>
      <c r="I610" s="175">
        <v>0</v>
      </c>
      <c r="J610" s="175">
        <f t="shared" si="41"/>
        <v>0</v>
      </c>
      <c r="K610" s="176">
        <f t="shared" si="42"/>
        <v>0</v>
      </c>
    </row>
    <row r="611" spans="1:11" x14ac:dyDescent="0.2">
      <c r="A611" s="500">
        <v>22</v>
      </c>
      <c r="B611" s="500"/>
      <c r="C611" s="501"/>
      <c r="D611" s="501" t="s">
        <v>35</v>
      </c>
      <c r="E611" s="535">
        <f>Assumptions!D82</f>
        <v>18064.454000000005</v>
      </c>
      <c r="F611" s="179" t="s">
        <v>175</v>
      </c>
      <c r="G611" s="177">
        <v>93.181470931199996</v>
      </c>
      <c r="H611" s="171">
        <v>66.558193522285706</v>
      </c>
      <c r="I611" s="175">
        <f t="shared" si="43"/>
        <v>2306.6184138767289</v>
      </c>
      <c r="J611" s="175">
        <f t="shared" si="41"/>
        <v>214.93409668202506</v>
      </c>
      <c r="K611" s="176">
        <f t="shared" si="42"/>
        <v>3.2404272134438886E-3</v>
      </c>
    </row>
    <row r="612" spans="1:11" x14ac:dyDescent="0.2">
      <c r="A612" s="500"/>
      <c r="B612" s="500"/>
      <c r="C612" s="501"/>
      <c r="D612" s="501"/>
      <c r="E612" s="535"/>
      <c r="F612" s="179" t="s">
        <v>172</v>
      </c>
      <c r="G612" s="177">
        <v>698.86103198400008</v>
      </c>
      <c r="H612" s="171">
        <v>167.72664767615998</v>
      </c>
      <c r="I612" s="175">
        <f t="shared" si="43"/>
        <v>19689.061218660514</v>
      </c>
      <c r="J612" s="175">
        <f t="shared" si="41"/>
        <v>13759.91764206924</v>
      </c>
      <c r="K612" s="176">
        <f t="shared" si="42"/>
        <v>0.15433506732190555</v>
      </c>
    </row>
    <row r="613" spans="1:11" x14ac:dyDescent="0.2">
      <c r="A613" s="500"/>
      <c r="B613" s="500"/>
      <c r="C613" s="501"/>
      <c r="D613" s="501"/>
      <c r="E613" s="535"/>
      <c r="F613" s="179" t="s">
        <v>202</v>
      </c>
      <c r="G613" s="177">
        <v>46.590735465599998</v>
      </c>
      <c r="H613" s="171">
        <v>116.16623376089601</v>
      </c>
      <c r="I613" s="175">
        <f t="shared" si="43"/>
        <v>8397.1827245892982</v>
      </c>
      <c r="J613" s="175">
        <f t="shared" si="41"/>
        <v>391.23091897764624</v>
      </c>
      <c r="K613" s="176">
        <f t="shared" si="42"/>
        <v>4.9354759663280436E-3</v>
      </c>
    </row>
    <row r="614" spans="1:11" x14ac:dyDescent="0.2">
      <c r="A614" s="500"/>
      <c r="B614" s="500"/>
      <c r="C614" s="501"/>
      <c r="D614" s="501"/>
      <c r="E614" s="535"/>
      <c r="F614" s="179" t="s">
        <v>177</v>
      </c>
      <c r="G614" s="177">
        <v>419.31661919039993</v>
      </c>
      <c r="H614" s="171">
        <v>96.287519962239998</v>
      </c>
      <c r="I614" s="175">
        <f t="shared" si="43"/>
        <v>5432.8863006928341</v>
      </c>
      <c r="J614" s="175">
        <f t="shared" si="41"/>
        <v>2278.099516052358</v>
      </c>
      <c r="K614" s="176">
        <f t="shared" si="42"/>
        <v>3.0517695410771855E-2</v>
      </c>
    </row>
    <row r="615" spans="1:11" x14ac:dyDescent="0.2">
      <c r="A615" s="500"/>
      <c r="B615" s="500"/>
      <c r="C615" s="501"/>
      <c r="D615" s="501"/>
      <c r="E615" s="535"/>
      <c r="F615" s="179" t="s">
        <v>188</v>
      </c>
      <c r="G615" s="177">
        <v>326.13514825919998</v>
      </c>
      <c r="H615" s="171">
        <v>109.74706576341333</v>
      </c>
      <c r="I615" s="175">
        <f t="shared" si="43"/>
        <v>7359.694428691686</v>
      </c>
      <c r="J615" s="175">
        <f t="shared" si="41"/>
        <v>2400.2550336437712</v>
      </c>
      <c r="K615" s="176">
        <f t="shared" si="42"/>
        <v>3.0835649329376911E-2</v>
      </c>
    </row>
    <row r="616" spans="1:11" x14ac:dyDescent="0.2">
      <c r="A616" s="500"/>
      <c r="B616" s="500"/>
      <c r="C616" s="501"/>
      <c r="D616" s="501"/>
      <c r="E616" s="535"/>
      <c r="F616" s="179" t="s">
        <v>173</v>
      </c>
      <c r="G616" s="177">
        <v>978.40544477759988</v>
      </c>
      <c r="H616" s="171">
        <v>48.809341916342852</v>
      </c>
      <c r="I616" s="175">
        <f t="shared" si="43"/>
        <v>1123.2464721806336</v>
      </c>
      <c r="J616" s="175">
        <f t="shared" si="41"/>
        <v>1098.9904642087629</v>
      </c>
      <c r="K616" s="176">
        <f t="shared" si="42"/>
        <v>1.8297612331913155E-2</v>
      </c>
    </row>
    <row r="617" spans="1:11" x14ac:dyDescent="0.2">
      <c r="A617" s="500"/>
      <c r="B617" s="500"/>
      <c r="C617" s="501"/>
      <c r="D617" s="501"/>
      <c r="E617" s="535"/>
      <c r="F617" s="179" t="s">
        <v>185</v>
      </c>
      <c r="G617" s="177">
        <v>279.54441279360003</v>
      </c>
      <c r="H617" s="171">
        <v>204.99923604864</v>
      </c>
      <c r="I617" s="175">
        <f t="shared" si="43"/>
        <v>31362.698061614767</v>
      </c>
      <c r="J617" s="175">
        <f t="shared" si="41"/>
        <v>8767.2670132570765</v>
      </c>
      <c r="K617" s="176">
        <f t="shared" si="42"/>
        <v>9.2219966152842336E-2</v>
      </c>
    </row>
    <row r="618" spans="1:11" x14ac:dyDescent="0.2">
      <c r="A618" s="500"/>
      <c r="B618" s="500"/>
      <c r="C618" s="501"/>
      <c r="D618" s="501"/>
      <c r="E618" s="535"/>
      <c r="F618" s="179" t="s">
        <v>170</v>
      </c>
      <c r="G618" s="177">
        <v>93.181470931199996</v>
      </c>
      <c r="H618" s="171">
        <v>55.908882558720002</v>
      </c>
      <c r="I618" s="175">
        <f t="shared" si="43"/>
        <v>1539.2306346913992</v>
      </c>
      <c r="J618" s="175">
        <f t="shared" si="41"/>
        <v>143.42777464290916</v>
      </c>
      <c r="K618" s="176">
        <f t="shared" si="42"/>
        <v>2.2864454418060082E-3</v>
      </c>
    </row>
    <row r="619" spans="1:11" x14ac:dyDescent="0.2">
      <c r="A619" s="152">
        <v>2019</v>
      </c>
      <c r="E619" s="81"/>
    </row>
    <row r="620" spans="1:11" ht="26" x14ac:dyDescent="0.2">
      <c r="A620" s="499" t="s">
        <v>8</v>
      </c>
      <c r="B620" s="499" t="s">
        <v>169</v>
      </c>
      <c r="C620" s="499" t="s">
        <v>31</v>
      </c>
      <c r="D620" s="499" t="s">
        <v>32</v>
      </c>
      <c r="E620" s="151" t="s">
        <v>510</v>
      </c>
      <c r="F620" s="499" t="s">
        <v>494</v>
      </c>
      <c r="G620" s="151" t="s">
        <v>495</v>
      </c>
      <c r="H620" s="151" t="s">
        <v>511</v>
      </c>
      <c r="I620" s="151" t="s">
        <v>205</v>
      </c>
      <c r="J620" s="151" t="s">
        <v>497</v>
      </c>
      <c r="K620" s="160" t="s">
        <v>512</v>
      </c>
    </row>
    <row r="621" spans="1:11" x14ac:dyDescent="0.2">
      <c r="A621" s="500"/>
      <c r="B621" s="500"/>
      <c r="C621" s="500"/>
      <c r="D621" s="500"/>
      <c r="E621" s="162" t="s">
        <v>499</v>
      </c>
      <c r="F621" s="500"/>
      <c r="G621" s="162" t="s">
        <v>506</v>
      </c>
      <c r="H621" s="162" t="s">
        <v>500</v>
      </c>
      <c r="I621" s="171" t="s">
        <v>501</v>
      </c>
      <c r="J621" s="171"/>
      <c r="K621" s="172"/>
    </row>
    <row r="622" spans="1:11" x14ac:dyDescent="0.2">
      <c r="A622" s="500">
        <v>1</v>
      </c>
      <c r="B622" s="500"/>
      <c r="C622" s="500"/>
      <c r="D622" s="500" t="s">
        <v>34</v>
      </c>
      <c r="E622" s="535">
        <f>Assumptions!D61</f>
        <v>183.761</v>
      </c>
      <c r="F622" s="173" t="s">
        <v>292</v>
      </c>
      <c r="G622" s="174">
        <v>47.979619178666667</v>
      </c>
      <c r="H622" s="171">
        <v>76.072948829333328</v>
      </c>
      <c r="I622" s="171">
        <f>EXP(-1.996+2.32*LN(H622))</f>
        <v>3144.8678224695091</v>
      </c>
      <c r="J622" s="171">
        <f t="shared" ref="J622:J685" si="44">(I622*G622)/1000</f>
        <v>150.88956048932974</v>
      </c>
      <c r="K622" s="181">
        <f t="shared" ref="K622:K685" si="45">0.00000001*3.14*(H622/2)^2*G622</f>
        <v>2.1796509733263735E-3</v>
      </c>
    </row>
    <row r="623" spans="1:11" x14ac:dyDescent="0.2">
      <c r="A623" s="500"/>
      <c r="B623" s="500"/>
      <c r="C623" s="500"/>
      <c r="D623" s="500"/>
      <c r="E623" s="535"/>
      <c r="F623" s="173" t="s">
        <v>293</v>
      </c>
      <c r="G623" s="177">
        <v>94.696616800000001</v>
      </c>
      <c r="H623" s="171">
        <v>57.133625469333339</v>
      </c>
      <c r="I623" s="171">
        <f t="shared" ref="I623:I686" si="46">EXP(-1.996+2.32*LN(H623))</f>
        <v>1618.5911142284583</v>
      </c>
      <c r="J623" s="171">
        <f t="shared" si="44"/>
        <v>153.27510249997732</v>
      </c>
      <c r="K623" s="181">
        <f t="shared" si="45"/>
        <v>2.4265412981715651E-3</v>
      </c>
    </row>
    <row r="624" spans="1:11" x14ac:dyDescent="0.2">
      <c r="A624" s="500"/>
      <c r="B624" s="500"/>
      <c r="C624" s="500"/>
      <c r="D624" s="500"/>
      <c r="E624" s="535"/>
      <c r="F624" s="173" t="s">
        <v>294</v>
      </c>
      <c r="G624" s="174">
        <v>805.86820896799998</v>
      </c>
      <c r="H624" s="171">
        <v>52.398794629333338</v>
      </c>
      <c r="I624" s="171">
        <f t="shared" si="46"/>
        <v>1324.261101610289</v>
      </c>
      <c r="J624" s="171">
        <f t="shared" si="44"/>
        <v>1067.1799221606741</v>
      </c>
      <c r="K624" s="181">
        <f t="shared" si="45"/>
        <v>1.7369058326231101E-2</v>
      </c>
    </row>
    <row r="625" spans="1:11" x14ac:dyDescent="0.2">
      <c r="A625" s="500"/>
      <c r="B625" s="500"/>
      <c r="C625" s="500"/>
      <c r="D625" s="500"/>
      <c r="E625" s="535"/>
      <c r="F625" s="173" t="s">
        <v>295</v>
      </c>
      <c r="G625" s="178">
        <v>189.70888898933336</v>
      </c>
      <c r="H625" s="171">
        <v>78.598191944000007</v>
      </c>
      <c r="I625" s="171">
        <f t="shared" si="46"/>
        <v>3392.3866340787849</v>
      </c>
      <c r="J625" s="171">
        <f t="shared" si="44"/>
        <v>643.56589937335048</v>
      </c>
      <c r="K625" s="181">
        <f t="shared" si="45"/>
        <v>9.1998860640994939E-3</v>
      </c>
    </row>
    <row r="626" spans="1:11" x14ac:dyDescent="0.2">
      <c r="A626" s="500"/>
      <c r="B626" s="500"/>
      <c r="C626" s="500"/>
      <c r="D626" s="500"/>
      <c r="E626" s="535"/>
      <c r="F626" s="173" t="s">
        <v>296</v>
      </c>
      <c r="G626" s="178">
        <v>94.696616800000001</v>
      </c>
      <c r="H626" s="171">
        <v>80.492124279999999</v>
      </c>
      <c r="I626" s="171">
        <f t="shared" si="46"/>
        <v>3585.0570967966382</v>
      </c>
      <c r="J626" s="171">
        <f t="shared" si="44"/>
        <v>339.4927781014718</v>
      </c>
      <c r="K626" s="181">
        <f t="shared" si="45"/>
        <v>4.8162708071672403E-3</v>
      </c>
    </row>
    <row r="627" spans="1:11" x14ac:dyDescent="0.2">
      <c r="A627" s="500"/>
      <c r="B627" s="500"/>
      <c r="C627" s="500"/>
      <c r="D627" s="500"/>
      <c r="E627" s="535"/>
      <c r="F627" s="173" t="s">
        <v>297</v>
      </c>
      <c r="G627" s="178">
        <v>47.032653010666671</v>
      </c>
      <c r="H627" s="171">
        <v>67.550253317333329</v>
      </c>
      <c r="I627" s="171">
        <f t="shared" si="46"/>
        <v>2387.1670558232713</v>
      </c>
      <c r="J627" s="171">
        <f t="shared" si="44"/>
        <v>112.27479981503068</v>
      </c>
      <c r="K627" s="181">
        <f t="shared" si="45"/>
        <v>1.6847020245992367E-3</v>
      </c>
    </row>
    <row r="628" spans="1:11" x14ac:dyDescent="0.2">
      <c r="A628" s="500"/>
      <c r="B628" s="500"/>
      <c r="C628" s="500"/>
      <c r="D628" s="500"/>
      <c r="E628" s="535"/>
      <c r="F628" s="173" t="s">
        <v>298</v>
      </c>
      <c r="G628" s="178">
        <v>94.696616800000001</v>
      </c>
      <c r="H628" s="171">
        <v>58.711902416000001</v>
      </c>
      <c r="I628" s="171">
        <f t="shared" si="46"/>
        <v>1724.2208352900559</v>
      </c>
      <c r="J628" s="171">
        <f t="shared" si="44"/>
        <v>163.27787971803835</v>
      </c>
      <c r="K628" s="181">
        <f t="shared" si="45"/>
        <v>2.5624560529758996E-3</v>
      </c>
    </row>
    <row r="629" spans="1:11" x14ac:dyDescent="0.2">
      <c r="A629" s="500"/>
      <c r="B629" s="500"/>
      <c r="C629" s="500"/>
      <c r="D629" s="500"/>
      <c r="E629" s="535"/>
      <c r="F629" s="173" t="s">
        <v>299</v>
      </c>
      <c r="G629" s="178">
        <v>47.663963789333337</v>
      </c>
      <c r="H629" s="171">
        <v>53.977071576</v>
      </c>
      <c r="I629" s="171">
        <f t="shared" si="46"/>
        <v>1418.6453349807268</v>
      </c>
      <c r="J629" s="171">
        <f t="shared" si="44"/>
        <v>67.618259876428027</v>
      </c>
      <c r="K629" s="181">
        <f t="shared" si="45"/>
        <v>1.0901303998733295E-3</v>
      </c>
    </row>
    <row r="630" spans="1:11" x14ac:dyDescent="0.2">
      <c r="A630" s="500"/>
      <c r="B630" s="500"/>
      <c r="C630" s="500"/>
      <c r="D630" s="500"/>
      <c r="E630" s="535"/>
      <c r="F630" s="173" t="s">
        <v>300</v>
      </c>
      <c r="G630" s="178">
        <v>568.49535618933328</v>
      </c>
      <c r="H630" s="171">
        <v>59.027557805333338</v>
      </c>
      <c r="I630" s="171">
        <f t="shared" si="46"/>
        <v>1745.8036025017946</v>
      </c>
      <c r="J630" s="171">
        <f t="shared" si="44"/>
        <v>992.48124084087897</v>
      </c>
      <c r="K630" s="181">
        <f t="shared" si="45"/>
        <v>1.5549134082499146E-2</v>
      </c>
    </row>
    <row r="631" spans="1:11" x14ac:dyDescent="0.2">
      <c r="A631" s="500"/>
      <c r="B631" s="500"/>
      <c r="C631" s="500"/>
      <c r="D631" s="500"/>
      <c r="E631" s="535"/>
      <c r="F631" s="173" t="s">
        <v>301</v>
      </c>
      <c r="G631" s="178">
        <v>94.380961410666671</v>
      </c>
      <c r="H631" s="171">
        <v>114.58290632800001</v>
      </c>
      <c r="I631" s="171">
        <f t="shared" si="46"/>
        <v>8134.0385857432539</v>
      </c>
      <c r="J631" s="171">
        <f t="shared" si="44"/>
        <v>767.69838187390781</v>
      </c>
      <c r="K631" s="181">
        <f t="shared" si="45"/>
        <v>9.7273316011224631E-3</v>
      </c>
    </row>
    <row r="632" spans="1:11" x14ac:dyDescent="0.2">
      <c r="A632" s="500"/>
      <c r="B632" s="500"/>
      <c r="C632" s="500"/>
      <c r="D632" s="500"/>
      <c r="E632" s="535"/>
      <c r="F632" s="173" t="s">
        <v>302</v>
      </c>
      <c r="G632" s="178">
        <v>331.7538141893333</v>
      </c>
      <c r="H632" s="171">
        <v>119.94904794666667</v>
      </c>
      <c r="I632" s="171">
        <f t="shared" si="46"/>
        <v>9045.2547397618746</v>
      </c>
      <c r="J632" s="171">
        <f t="shared" si="44"/>
        <v>3000.7977602301471</v>
      </c>
      <c r="K632" s="181">
        <f t="shared" si="45"/>
        <v>3.7469611651275249E-2</v>
      </c>
    </row>
    <row r="633" spans="1:11" x14ac:dyDescent="0.2">
      <c r="A633" s="500"/>
      <c r="B633" s="500"/>
      <c r="C633" s="500"/>
      <c r="D633" s="500"/>
      <c r="E633" s="535"/>
      <c r="F633" s="173" t="s">
        <v>303</v>
      </c>
      <c r="G633" s="178">
        <v>425.81912021066671</v>
      </c>
      <c r="H633" s="171">
        <v>118.68642638933333</v>
      </c>
      <c r="I633" s="171">
        <f t="shared" si="46"/>
        <v>8825.8930079617912</v>
      </c>
      <c r="J633" s="171">
        <f t="shared" si="44"/>
        <v>3758.233995723765</v>
      </c>
      <c r="K633" s="181">
        <f t="shared" si="45"/>
        <v>4.7086555535274556E-2</v>
      </c>
    </row>
    <row r="634" spans="1:11" x14ac:dyDescent="0.2">
      <c r="A634" s="500"/>
      <c r="B634" s="500"/>
      <c r="C634" s="500"/>
      <c r="D634" s="500"/>
      <c r="E634" s="535"/>
      <c r="F634" s="173" t="s">
        <v>304</v>
      </c>
      <c r="G634" s="178">
        <v>47.032653010666671</v>
      </c>
      <c r="H634" s="171">
        <v>95.327927578666674</v>
      </c>
      <c r="I634" s="171">
        <f t="shared" si="46"/>
        <v>5308.0984089975209</v>
      </c>
      <c r="J634" s="171">
        <f t="shared" si="44"/>
        <v>249.6539506168522</v>
      </c>
      <c r="K634" s="181">
        <f t="shared" si="45"/>
        <v>3.3551306544577874E-3</v>
      </c>
    </row>
    <row r="635" spans="1:11" x14ac:dyDescent="0.2">
      <c r="A635" s="500">
        <v>2</v>
      </c>
      <c r="B635" s="500"/>
      <c r="C635" s="500"/>
      <c r="D635" s="500" t="s">
        <v>35</v>
      </c>
      <c r="E635" s="535">
        <f>Assumptions!D62</f>
        <v>6772.8780000000015</v>
      </c>
      <c r="F635" s="179" t="s">
        <v>173</v>
      </c>
      <c r="G635" s="177">
        <v>78.598191944000007</v>
      </c>
      <c r="H635" s="171">
        <v>110.47938626666667</v>
      </c>
      <c r="I635" s="171">
        <f t="shared" si="46"/>
        <v>7474.1312675946247</v>
      </c>
      <c r="J635" s="171">
        <f t="shared" si="44"/>
        <v>587.45320398505442</v>
      </c>
      <c r="K635" s="181">
        <f t="shared" si="45"/>
        <v>7.5308625039404728E-3</v>
      </c>
    </row>
    <row r="636" spans="1:11" x14ac:dyDescent="0.2">
      <c r="A636" s="500"/>
      <c r="B636" s="500"/>
      <c r="C636" s="500"/>
      <c r="D636" s="500"/>
      <c r="E636" s="535"/>
      <c r="F636" s="179" t="s">
        <v>170</v>
      </c>
      <c r="G636" s="177">
        <v>158.143350056</v>
      </c>
      <c r="H636" s="171">
        <v>75.757293439999998</v>
      </c>
      <c r="I636" s="171">
        <f t="shared" si="46"/>
        <v>3114.6764482145581</v>
      </c>
      <c r="J636" s="171">
        <f t="shared" si="44"/>
        <v>492.56536786117363</v>
      </c>
      <c r="K636" s="181">
        <f t="shared" si="45"/>
        <v>7.1247477352253943E-3</v>
      </c>
    </row>
    <row r="637" spans="1:11" x14ac:dyDescent="0.2">
      <c r="A637" s="500"/>
      <c r="B637" s="500"/>
      <c r="C637" s="500"/>
      <c r="D637" s="500"/>
      <c r="E637" s="535"/>
      <c r="F637" s="179" t="s">
        <v>171</v>
      </c>
      <c r="G637" s="177">
        <v>710.22462600000006</v>
      </c>
      <c r="H637" s="171">
        <v>104.16627847999999</v>
      </c>
      <c r="I637" s="171">
        <f t="shared" si="46"/>
        <v>6520.4144123017222</v>
      </c>
      <c r="J637" s="171">
        <f t="shared" si="44"/>
        <v>4630.9588873420007</v>
      </c>
      <c r="K637" s="181">
        <f t="shared" si="45"/>
        <v>6.0495027785526241E-2</v>
      </c>
    </row>
    <row r="638" spans="1:11" x14ac:dyDescent="0.2">
      <c r="A638" s="500"/>
      <c r="B638" s="500"/>
      <c r="C638" s="500"/>
      <c r="D638" s="500"/>
      <c r="E638" s="535"/>
      <c r="F638" s="179" t="s">
        <v>172</v>
      </c>
      <c r="G638" s="177">
        <v>402.46062140000004</v>
      </c>
      <c r="H638" s="171">
        <v>119.94904794666667</v>
      </c>
      <c r="I638" s="171">
        <f t="shared" si="46"/>
        <v>9045.2547397618746</v>
      </c>
      <c r="J638" s="171">
        <f t="shared" si="44"/>
        <v>3640.3588432858596</v>
      </c>
      <c r="K638" s="181">
        <f t="shared" si="45"/>
        <v>4.5455523173526115E-2</v>
      </c>
    </row>
    <row r="639" spans="1:11" x14ac:dyDescent="0.2">
      <c r="A639" s="500">
        <v>3</v>
      </c>
      <c r="B639" s="500"/>
      <c r="C639" s="500"/>
      <c r="D639" s="500" t="s">
        <v>35</v>
      </c>
      <c r="E639" s="535">
        <f>Assumptions!D63</f>
        <v>4319.8270000000002</v>
      </c>
      <c r="F639" s="179" t="s">
        <v>174</v>
      </c>
      <c r="G639" s="177">
        <v>94.696616800000001</v>
      </c>
      <c r="H639" s="171">
        <v>232.00671115999998</v>
      </c>
      <c r="I639" s="171">
        <f t="shared" si="46"/>
        <v>41793.571419569773</v>
      </c>
      <c r="J639" s="171">
        <f t="shared" si="44"/>
        <v>3957.7098174224311</v>
      </c>
      <c r="K639" s="181">
        <f t="shared" si="45"/>
        <v>4.0013377882382503E-2</v>
      </c>
    </row>
    <row r="640" spans="1:11" x14ac:dyDescent="0.2">
      <c r="A640" s="500"/>
      <c r="B640" s="500"/>
      <c r="C640" s="500"/>
      <c r="D640" s="500"/>
      <c r="E640" s="535"/>
      <c r="F640" s="179" t="s">
        <v>175</v>
      </c>
      <c r="G640" s="177">
        <v>47.348308400000001</v>
      </c>
      <c r="H640" s="171">
        <v>56.817970080000002</v>
      </c>
      <c r="I640" s="171">
        <f t="shared" si="46"/>
        <v>1597.9201378874909</v>
      </c>
      <c r="J640" s="171">
        <f t="shared" si="44"/>
        <v>75.658815487267447</v>
      </c>
      <c r="K640" s="181">
        <f t="shared" si="45"/>
        <v>1.199901377564157E-3</v>
      </c>
    </row>
    <row r="641" spans="1:11" x14ac:dyDescent="0.2">
      <c r="A641" s="500"/>
      <c r="B641" s="500"/>
      <c r="C641" s="500"/>
      <c r="D641" s="500"/>
      <c r="E641" s="535"/>
      <c r="F641" s="179" t="s">
        <v>176</v>
      </c>
      <c r="G641" s="177">
        <v>47.348308400000001</v>
      </c>
      <c r="H641" s="171">
        <v>284.08985040000005</v>
      </c>
      <c r="I641" s="171">
        <f t="shared" si="46"/>
        <v>66859.862646948939</v>
      </c>
      <c r="J641" s="171">
        <f t="shared" si="44"/>
        <v>3165.7013961893786</v>
      </c>
      <c r="K641" s="181">
        <f t="shared" si="45"/>
        <v>2.9997534439103933E-2</v>
      </c>
    </row>
    <row r="642" spans="1:11" x14ac:dyDescent="0.2">
      <c r="A642" s="500"/>
      <c r="B642" s="500"/>
      <c r="C642" s="500"/>
      <c r="D642" s="500"/>
      <c r="E642" s="535"/>
      <c r="F642" s="179" t="s">
        <v>177</v>
      </c>
      <c r="G642" s="177">
        <v>47.348308400000001</v>
      </c>
      <c r="H642" s="171">
        <v>179.92357192</v>
      </c>
      <c r="I642" s="171">
        <f t="shared" si="46"/>
        <v>23171.413283749927</v>
      </c>
      <c r="J642" s="171">
        <f t="shared" si="44"/>
        <v>1097.1272222228483</v>
      </c>
      <c r="K642" s="181">
        <f t="shared" si="45"/>
        <v>1.2032344369462798E-2</v>
      </c>
    </row>
    <row r="643" spans="1:11" x14ac:dyDescent="0.2">
      <c r="A643" s="500">
        <v>4</v>
      </c>
      <c r="B643" s="500"/>
      <c r="C643" s="500"/>
      <c r="D643" s="500" t="s">
        <v>34</v>
      </c>
      <c r="E643" s="535">
        <f>Assumptions!D64</f>
        <v>1612.0500000000002</v>
      </c>
      <c r="F643" s="173" t="s">
        <v>305</v>
      </c>
      <c r="G643" s="177">
        <v>757.57293440000001</v>
      </c>
      <c r="H643" s="171">
        <v>66.287631759999996</v>
      </c>
      <c r="I643" s="171">
        <f t="shared" si="46"/>
        <v>2284.9232770607355</v>
      </c>
      <c r="J643" s="171">
        <f t="shared" si="44"/>
        <v>1730.9960318817657</v>
      </c>
      <c r="K643" s="181">
        <f t="shared" si="45"/>
        <v>2.6131185555841634E-2</v>
      </c>
    </row>
    <row r="644" spans="1:11" x14ac:dyDescent="0.2">
      <c r="A644" s="500"/>
      <c r="B644" s="500"/>
      <c r="C644" s="500"/>
      <c r="D644" s="500"/>
      <c r="E644" s="535"/>
      <c r="F644" s="173" t="s">
        <v>306</v>
      </c>
      <c r="G644" s="177">
        <v>236.74154199999998</v>
      </c>
      <c r="H644" s="171">
        <v>52.083139239999994</v>
      </c>
      <c r="I644" s="171">
        <f t="shared" si="46"/>
        <v>1305.8268937740372</v>
      </c>
      <c r="J644" s="171">
        <f t="shared" si="44"/>
        <v>309.14347241713574</v>
      </c>
      <c r="K644" s="181">
        <f t="shared" si="45"/>
        <v>5.0412523154605192E-3</v>
      </c>
    </row>
    <row r="645" spans="1:11" x14ac:dyDescent="0.2">
      <c r="A645" s="500"/>
      <c r="B645" s="500"/>
      <c r="C645" s="500"/>
      <c r="D645" s="500"/>
      <c r="E645" s="535"/>
      <c r="F645" s="173" t="s">
        <v>307</v>
      </c>
      <c r="G645" s="177">
        <v>2414.7637283999998</v>
      </c>
      <c r="H645" s="171">
        <v>53.030105407999997</v>
      </c>
      <c r="I645" s="171">
        <f t="shared" si="46"/>
        <v>1361.571310189116</v>
      </c>
      <c r="J645" s="171">
        <f t="shared" si="44"/>
        <v>3287.8730134747425</v>
      </c>
      <c r="K645" s="181">
        <f t="shared" si="45"/>
        <v>5.3307618533916933E-2</v>
      </c>
    </row>
    <row r="646" spans="1:11" ht="26" x14ac:dyDescent="0.2">
      <c r="A646" s="162">
        <v>5</v>
      </c>
      <c r="B646" s="162"/>
      <c r="C646" s="7"/>
      <c r="D646" s="7" t="s">
        <v>34</v>
      </c>
      <c r="E646" s="171">
        <f>Assumptions!D65</f>
        <v>353.58800000000002</v>
      </c>
      <c r="F646" s="173" t="s">
        <v>323</v>
      </c>
      <c r="G646" s="177">
        <v>0</v>
      </c>
      <c r="H646" s="171">
        <v>0</v>
      </c>
      <c r="I646" s="171">
        <v>0</v>
      </c>
      <c r="J646" s="171">
        <f t="shared" si="44"/>
        <v>0</v>
      </c>
      <c r="K646" s="181">
        <f t="shared" si="45"/>
        <v>0</v>
      </c>
    </row>
    <row r="647" spans="1:11" x14ac:dyDescent="0.2">
      <c r="A647" s="500">
        <v>6</v>
      </c>
      <c r="B647" s="500"/>
      <c r="C647" s="500"/>
      <c r="D647" s="500" t="s">
        <v>35</v>
      </c>
      <c r="E647" s="535">
        <f>Assumptions!D66</f>
        <v>4915.7929999999997</v>
      </c>
      <c r="F647" s="179" t="s">
        <v>178</v>
      </c>
      <c r="G647" s="177">
        <v>852.26955119999991</v>
      </c>
      <c r="H647" s="171">
        <v>83.555838352941166</v>
      </c>
      <c r="I647" s="171">
        <f t="shared" si="46"/>
        <v>3909.6186031507896</v>
      </c>
      <c r="J647" s="171">
        <f t="shared" si="44"/>
        <v>3332.048892270494</v>
      </c>
      <c r="K647" s="181">
        <f t="shared" si="45"/>
        <v>4.670896365950436E-2</v>
      </c>
    </row>
    <row r="648" spans="1:11" x14ac:dyDescent="0.2">
      <c r="A648" s="500"/>
      <c r="B648" s="500"/>
      <c r="C648" s="500"/>
      <c r="D648" s="500"/>
      <c r="E648" s="535"/>
      <c r="F648" s="179" t="s">
        <v>179</v>
      </c>
      <c r="G648" s="177">
        <v>568.17970080000009</v>
      </c>
      <c r="H648" s="171">
        <v>71.022462600000011</v>
      </c>
      <c r="I648" s="171">
        <f t="shared" si="46"/>
        <v>2681.5524758935298</v>
      </c>
      <c r="J648" s="171">
        <f t="shared" si="44"/>
        <v>1523.6036834326851</v>
      </c>
      <c r="K648" s="181">
        <f t="shared" si="45"/>
        <v>2.2498150829327952E-2</v>
      </c>
    </row>
    <row r="649" spans="1:11" x14ac:dyDescent="0.2">
      <c r="A649" s="500"/>
      <c r="B649" s="500"/>
      <c r="C649" s="500"/>
      <c r="D649" s="500"/>
      <c r="E649" s="535"/>
      <c r="F649" s="179" t="s">
        <v>175</v>
      </c>
      <c r="G649" s="177">
        <v>1420.4492520000001</v>
      </c>
      <c r="H649" s="171">
        <v>37.878646719999999</v>
      </c>
      <c r="I649" s="171">
        <f t="shared" si="46"/>
        <v>623.76837027562885</v>
      </c>
      <c r="J649" s="171">
        <f t="shared" si="44"/>
        <v>886.0313149792762</v>
      </c>
      <c r="K649" s="181">
        <f t="shared" si="45"/>
        <v>1.5998685034188762E-2</v>
      </c>
    </row>
    <row r="650" spans="1:11" x14ac:dyDescent="0.2">
      <c r="A650" s="500"/>
      <c r="B650" s="500"/>
      <c r="C650" s="500"/>
      <c r="D650" s="500"/>
      <c r="E650" s="535"/>
      <c r="F650" s="179" t="s">
        <v>180</v>
      </c>
      <c r="G650" s="177">
        <v>94.696616800000001</v>
      </c>
      <c r="H650" s="171">
        <v>94.696616800000001</v>
      </c>
      <c r="I650" s="171">
        <f t="shared" si="46"/>
        <v>5226.8997325228574</v>
      </c>
      <c r="J650" s="171">
        <f t="shared" si="44"/>
        <v>494.96972102273952</v>
      </c>
      <c r="K650" s="181">
        <f t="shared" si="45"/>
        <v>6.6661187642453159E-3</v>
      </c>
    </row>
    <row r="651" spans="1:11" x14ac:dyDescent="0.2">
      <c r="A651" s="500"/>
      <c r="B651" s="500"/>
      <c r="C651" s="500"/>
      <c r="D651" s="500"/>
      <c r="E651" s="535"/>
      <c r="F651" s="179" t="s">
        <v>181</v>
      </c>
      <c r="G651" s="177">
        <v>94.696616800000001</v>
      </c>
      <c r="H651" s="171">
        <v>151.51458688</v>
      </c>
      <c r="I651" s="171">
        <f t="shared" si="46"/>
        <v>15552.583041002408</v>
      </c>
      <c r="J651" s="171">
        <f t="shared" si="44"/>
        <v>1472.7769964839838</v>
      </c>
      <c r="K651" s="181">
        <f t="shared" si="45"/>
        <v>1.7065264036468009E-2</v>
      </c>
    </row>
    <row r="652" spans="1:11" ht="26" x14ac:dyDescent="0.2">
      <c r="A652" s="162">
        <v>7</v>
      </c>
      <c r="B652" s="162"/>
      <c r="C652" s="7"/>
      <c r="D652" s="7" t="s">
        <v>34</v>
      </c>
      <c r="E652" s="171">
        <f>Assumptions!D67</f>
        <v>2549.9479999999994</v>
      </c>
      <c r="F652" s="173" t="s">
        <v>323</v>
      </c>
      <c r="G652" s="177">
        <v>0</v>
      </c>
      <c r="H652" s="171">
        <v>0</v>
      </c>
      <c r="I652" s="171">
        <v>0</v>
      </c>
      <c r="J652" s="171">
        <f t="shared" si="44"/>
        <v>0</v>
      </c>
      <c r="K652" s="181">
        <f t="shared" si="45"/>
        <v>0</v>
      </c>
    </row>
    <row r="653" spans="1:11" x14ac:dyDescent="0.2">
      <c r="A653" s="162">
        <v>8</v>
      </c>
      <c r="B653" s="162"/>
      <c r="C653" s="7"/>
      <c r="D653" s="7" t="s">
        <v>36</v>
      </c>
      <c r="E653" s="171">
        <f>Assumptions!D68</f>
        <v>741.26900000000001</v>
      </c>
      <c r="F653" s="173" t="s">
        <v>323</v>
      </c>
      <c r="G653" s="177">
        <v>0</v>
      </c>
      <c r="H653" s="171">
        <v>0</v>
      </c>
      <c r="I653" s="171">
        <v>0</v>
      </c>
      <c r="J653" s="171">
        <f t="shared" si="44"/>
        <v>0</v>
      </c>
      <c r="K653" s="181">
        <f t="shared" si="45"/>
        <v>0</v>
      </c>
    </row>
    <row r="654" spans="1:11" x14ac:dyDescent="0.2">
      <c r="A654" s="500">
        <v>9</v>
      </c>
      <c r="B654" s="500"/>
      <c r="C654" s="500"/>
      <c r="D654" s="500" t="s">
        <v>35</v>
      </c>
      <c r="E654" s="535">
        <f>Assumptions!D69</f>
        <v>8643.7000000000025</v>
      </c>
      <c r="F654" s="179" t="s">
        <v>173</v>
      </c>
      <c r="G654" s="177">
        <v>331.4381588</v>
      </c>
      <c r="H654" s="171">
        <v>64.934822948571423</v>
      </c>
      <c r="I654" s="171">
        <f t="shared" si="46"/>
        <v>2178.1931452894178</v>
      </c>
      <c r="J654" s="171">
        <f t="shared" si="44"/>
        <v>721.93632558550541</v>
      </c>
      <c r="K654" s="181">
        <f t="shared" si="45"/>
        <v>1.0970526880586577E-2</v>
      </c>
    </row>
    <row r="655" spans="1:11" x14ac:dyDescent="0.2">
      <c r="A655" s="500"/>
      <c r="B655" s="500"/>
      <c r="C655" s="500"/>
      <c r="D655" s="500"/>
      <c r="E655" s="535"/>
      <c r="F655" s="179" t="s">
        <v>182</v>
      </c>
      <c r="G655" s="177">
        <v>331.4381588</v>
      </c>
      <c r="H655" s="171">
        <v>236.74154199999998</v>
      </c>
      <c r="I655" s="171">
        <f t="shared" si="46"/>
        <v>43799.080100479012</v>
      </c>
      <c r="J655" s="171">
        <f t="shared" si="44"/>
        <v>14516.686465636483</v>
      </c>
      <c r="K655" s="181">
        <f t="shared" si="45"/>
        <v>0.14582134796786625</v>
      </c>
    </row>
    <row r="656" spans="1:11" x14ac:dyDescent="0.2">
      <c r="A656" s="500"/>
      <c r="B656" s="500"/>
      <c r="C656" s="500"/>
      <c r="D656" s="500"/>
      <c r="E656" s="535"/>
      <c r="F656" s="179" t="s">
        <v>172</v>
      </c>
      <c r="G656" s="177">
        <v>331.4381588</v>
      </c>
      <c r="H656" s="171">
        <v>183.98199835428571</v>
      </c>
      <c r="I656" s="171">
        <f t="shared" si="46"/>
        <v>24402.08770440162</v>
      </c>
      <c r="J656" s="171">
        <f t="shared" si="44"/>
        <v>8087.7830196229916</v>
      </c>
      <c r="K656" s="181">
        <f t="shared" si="45"/>
        <v>8.8068951902486689E-2</v>
      </c>
    </row>
    <row r="657" spans="1:11" x14ac:dyDescent="0.2">
      <c r="A657" s="500"/>
      <c r="B657" s="500"/>
      <c r="C657" s="500"/>
      <c r="D657" s="500"/>
      <c r="E657" s="535"/>
      <c r="F657" s="179" t="s">
        <v>183</v>
      </c>
      <c r="G657" s="177">
        <v>189.3932336</v>
      </c>
      <c r="H657" s="171">
        <v>61.552800919999996</v>
      </c>
      <c r="I657" s="171">
        <f t="shared" si="46"/>
        <v>1923.9915331942609</v>
      </c>
      <c r="J657" s="171">
        <f t="shared" si="44"/>
        <v>364.39097789068279</v>
      </c>
      <c r="K657" s="181">
        <f t="shared" si="45"/>
        <v>5.632870355787291E-3</v>
      </c>
    </row>
    <row r="658" spans="1:11" x14ac:dyDescent="0.2">
      <c r="A658" s="500"/>
      <c r="B658" s="500"/>
      <c r="C658" s="500"/>
      <c r="D658" s="500"/>
      <c r="E658" s="535"/>
      <c r="F658" s="179" t="s">
        <v>184</v>
      </c>
      <c r="G658" s="177">
        <v>94.696616800000001</v>
      </c>
      <c r="H658" s="171">
        <v>198.86289528</v>
      </c>
      <c r="I658" s="171">
        <f t="shared" si="46"/>
        <v>29227.585046740493</v>
      </c>
      <c r="J658" s="171">
        <f t="shared" si="44"/>
        <v>2767.7534211605944</v>
      </c>
      <c r="K658" s="181">
        <f t="shared" si="45"/>
        <v>2.9397583750321848E-2</v>
      </c>
    </row>
    <row r="659" spans="1:11" x14ac:dyDescent="0.2">
      <c r="A659" s="500"/>
      <c r="B659" s="500"/>
      <c r="C659" s="500"/>
      <c r="D659" s="500"/>
      <c r="E659" s="535"/>
      <c r="F659" s="179" t="s">
        <v>185</v>
      </c>
      <c r="G659" s="177">
        <v>47.348308400000001</v>
      </c>
      <c r="H659" s="171">
        <v>56.817970080000002</v>
      </c>
      <c r="I659" s="171">
        <f t="shared" si="46"/>
        <v>1597.9201378874909</v>
      </c>
      <c r="J659" s="171">
        <f t="shared" si="44"/>
        <v>75.658815487267447</v>
      </c>
      <c r="K659" s="181">
        <f t="shared" si="45"/>
        <v>1.199901377564157E-3</v>
      </c>
    </row>
    <row r="660" spans="1:11" x14ac:dyDescent="0.2">
      <c r="A660" s="500"/>
      <c r="B660" s="500"/>
      <c r="C660" s="500"/>
      <c r="D660" s="500"/>
      <c r="E660" s="535"/>
      <c r="F660" s="179" t="s">
        <v>186</v>
      </c>
      <c r="G660" s="177">
        <v>142.04492520000002</v>
      </c>
      <c r="H660" s="171">
        <v>135.73181741333335</v>
      </c>
      <c r="I660" s="171">
        <f t="shared" si="46"/>
        <v>12049.518009131883</v>
      </c>
      <c r="J660" s="171">
        <f t="shared" si="44"/>
        <v>1711.5728843031916</v>
      </c>
      <c r="K660" s="181">
        <f t="shared" si="45"/>
        <v>2.054275599181599E-2</v>
      </c>
    </row>
    <row r="661" spans="1:11" x14ac:dyDescent="0.2">
      <c r="A661" s="500"/>
      <c r="B661" s="500"/>
      <c r="C661" s="500"/>
      <c r="D661" s="500"/>
      <c r="E661" s="535"/>
      <c r="F661" s="179" t="s">
        <v>171</v>
      </c>
      <c r="G661" s="177">
        <v>189.3932336</v>
      </c>
      <c r="H661" s="171">
        <v>336.17298963999997</v>
      </c>
      <c r="I661" s="171">
        <f t="shared" si="46"/>
        <v>98803.868320833324</v>
      </c>
      <c r="J661" s="171">
        <f t="shared" si="44"/>
        <v>18712.784113471225</v>
      </c>
      <c r="K661" s="181">
        <f t="shared" si="45"/>
        <v>0.16801952345280316</v>
      </c>
    </row>
    <row r="662" spans="1:11" x14ac:dyDescent="0.2">
      <c r="A662" s="500"/>
      <c r="B662" s="500"/>
      <c r="C662" s="500"/>
      <c r="D662" s="500"/>
      <c r="E662" s="535"/>
      <c r="F662" s="179" t="s">
        <v>187</v>
      </c>
      <c r="G662" s="177">
        <v>47.348308400000001</v>
      </c>
      <c r="H662" s="171">
        <v>284.08985040000005</v>
      </c>
      <c r="I662" s="171">
        <f t="shared" si="46"/>
        <v>66859.862646948939</v>
      </c>
      <c r="J662" s="171">
        <f t="shared" si="44"/>
        <v>3165.7013961893786</v>
      </c>
      <c r="K662" s="181">
        <f t="shared" si="45"/>
        <v>2.9997534439103933E-2</v>
      </c>
    </row>
    <row r="663" spans="1:11" x14ac:dyDescent="0.2">
      <c r="A663" s="500"/>
      <c r="B663" s="500"/>
      <c r="C663" s="500"/>
      <c r="D663" s="500"/>
      <c r="E663" s="535"/>
      <c r="F663" s="179" t="s">
        <v>188</v>
      </c>
      <c r="G663" s="177">
        <v>189.3932336</v>
      </c>
      <c r="H663" s="171">
        <v>232.00671115999998</v>
      </c>
      <c r="I663" s="171">
        <f t="shared" si="46"/>
        <v>41793.571419569773</v>
      </c>
      <c r="J663" s="171">
        <f t="shared" si="44"/>
        <v>7915.4196348448622</v>
      </c>
      <c r="K663" s="181">
        <f t="shared" si="45"/>
        <v>8.0026755764765006E-2</v>
      </c>
    </row>
    <row r="664" spans="1:11" x14ac:dyDescent="0.2">
      <c r="A664" s="500">
        <v>10</v>
      </c>
      <c r="B664" s="500"/>
      <c r="C664" s="500"/>
      <c r="D664" s="500" t="s">
        <v>35</v>
      </c>
      <c r="E664" s="535">
        <f>Assumptions!D70</f>
        <v>2860.4270000000001</v>
      </c>
      <c r="F664" s="179" t="s">
        <v>189</v>
      </c>
      <c r="G664" s="177">
        <v>94.696616800000001</v>
      </c>
      <c r="H664" s="171">
        <v>75.757293439999998</v>
      </c>
      <c r="I664" s="171">
        <f t="shared" si="46"/>
        <v>3114.6764482145581</v>
      </c>
      <c r="J664" s="171">
        <f t="shared" si="44"/>
        <v>294.94932207255903</v>
      </c>
      <c r="K664" s="181">
        <f t="shared" si="45"/>
        <v>4.2663160091170023E-3</v>
      </c>
    </row>
    <row r="665" spans="1:11" x14ac:dyDescent="0.2">
      <c r="A665" s="500"/>
      <c r="B665" s="500"/>
      <c r="C665" s="500"/>
      <c r="D665" s="500"/>
      <c r="E665" s="535"/>
      <c r="F665" s="179" t="s">
        <v>190</v>
      </c>
      <c r="G665" s="177">
        <v>757.57293440000001</v>
      </c>
      <c r="H665" s="171">
        <v>66.287631759999996</v>
      </c>
      <c r="I665" s="171">
        <f t="shared" si="46"/>
        <v>2284.9232770607355</v>
      </c>
      <c r="J665" s="171">
        <f t="shared" si="44"/>
        <v>1730.9960318817657</v>
      </c>
      <c r="K665" s="181">
        <f t="shared" si="45"/>
        <v>2.6131185555841634E-2</v>
      </c>
    </row>
    <row r="666" spans="1:11" x14ac:dyDescent="0.2">
      <c r="A666" s="500"/>
      <c r="B666" s="500"/>
      <c r="C666" s="500"/>
      <c r="D666" s="500"/>
      <c r="E666" s="535"/>
      <c r="F666" s="179" t="s">
        <v>191</v>
      </c>
      <c r="G666" s="177">
        <v>94.696616800000001</v>
      </c>
      <c r="H666" s="171">
        <v>56.817970080000002</v>
      </c>
      <c r="I666" s="171">
        <f t="shared" si="46"/>
        <v>1597.9201378874909</v>
      </c>
      <c r="J666" s="171">
        <f t="shared" si="44"/>
        <v>151.31763097453489</v>
      </c>
      <c r="K666" s="181">
        <f t="shared" si="45"/>
        <v>2.399802755128314E-3</v>
      </c>
    </row>
    <row r="667" spans="1:11" x14ac:dyDescent="0.2">
      <c r="A667" s="500"/>
      <c r="B667" s="500"/>
      <c r="C667" s="500"/>
      <c r="D667" s="500"/>
      <c r="E667" s="535"/>
      <c r="F667" s="179" t="s">
        <v>171</v>
      </c>
      <c r="G667" s="177">
        <v>378.7864672</v>
      </c>
      <c r="H667" s="171">
        <v>99.431447640000002</v>
      </c>
      <c r="I667" s="171">
        <f t="shared" si="46"/>
        <v>5853.3344939081699</v>
      </c>
      <c r="J667" s="171">
        <f t="shared" si="44"/>
        <v>2217.1638942873756</v>
      </c>
      <c r="K667" s="181">
        <f t="shared" si="45"/>
        <v>2.9397583750321848E-2</v>
      </c>
    </row>
    <row r="668" spans="1:11" x14ac:dyDescent="0.2">
      <c r="A668" s="500"/>
      <c r="B668" s="500"/>
      <c r="C668" s="500"/>
      <c r="D668" s="500"/>
      <c r="E668" s="535"/>
      <c r="F668" s="179" t="s">
        <v>188</v>
      </c>
      <c r="G668" s="177">
        <v>94.696616800000001</v>
      </c>
      <c r="H668" s="171">
        <v>170.45391024</v>
      </c>
      <c r="I668" s="171">
        <f t="shared" si="46"/>
        <v>20439.787714922262</v>
      </c>
      <c r="J668" s="171">
        <f t="shared" si="44"/>
        <v>1935.5787447133412</v>
      </c>
      <c r="K668" s="181">
        <f t="shared" si="45"/>
        <v>2.1598224796154825E-2</v>
      </c>
    </row>
    <row r="669" spans="1:11" x14ac:dyDescent="0.2">
      <c r="A669" s="500">
        <v>11</v>
      </c>
      <c r="B669" s="500"/>
      <c r="C669" s="500"/>
      <c r="D669" s="500" t="s">
        <v>35</v>
      </c>
      <c r="E669" s="535">
        <f>Assumptions!D71</f>
        <v>9034.3230000000021</v>
      </c>
      <c r="F669" s="170" t="s">
        <v>192</v>
      </c>
      <c r="G669" s="177">
        <v>710.22462600000006</v>
      </c>
      <c r="H669" s="171">
        <v>79.702985806666689</v>
      </c>
      <c r="I669" s="171">
        <f t="shared" si="46"/>
        <v>3504.0416967438823</v>
      </c>
      <c r="J669" s="171">
        <f t="shared" si="44"/>
        <v>2488.6567035583294</v>
      </c>
      <c r="K669" s="181">
        <f t="shared" si="45"/>
        <v>3.5417227871909644E-2</v>
      </c>
    </row>
    <row r="670" spans="1:11" x14ac:dyDescent="0.2">
      <c r="A670" s="500"/>
      <c r="B670" s="500"/>
      <c r="C670" s="500"/>
      <c r="D670" s="500"/>
      <c r="E670" s="535"/>
      <c r="F670" s="170" t="s">
        <v>193</v>
      </c>
      <c r="G670" s="177">
        <v>355.11231300000003</v>
      </c>
      <c r="H670" s="171">
        <v>44.191754506666669</v>
      </c>
      <c r="I670" s="171">
        <f t="shared" si="46"/>
        <v>891.94874946708785</v>
      </c>
      <c r="J670" s="171">
        <f t="shared" si="44"/>
        <v>316.74198350071509</v>
      </c>
      <c r="K670" s="181">
        <f t="shared" si="45"/>
        <v>5.4439969908003424E-3</v>
      </c>
    </row>
    <row r="671" spans="1:11" x14ac:dyDescent="0.2">
      <c r="A671" s="500"/>
      <c r="B671" s="500"/>
      <c r="C671" s="500"/>
      <c r="D671" s="500"/>
      <c r="E671" s="535"/>
      <c r="F671" s="170" t="s">
        <v>190</v>
      </c>
      <c r="G671" s="177">
        <v>355.11231300000003</v>
      </c>
      <c r="H671" s="171">
        <v>123.10560183999999</v>
      </c>
      <c r="I671" s="171">
        <f t="shared" si="46"/>
        <v>9607.1096268577803</v>
      </c>
      <c r="J671" s="171">
        <f t="shared" si="44"/>
        <v>3411.6029208380337</v>
      </c>
      <c r="K671" s="181">
        <f t="shared" si="45"/>
        <v>4.2246527668404685E-2</v>
      </c>
    </row>
    <row r="672" spans="1:11" x14ac:dyDescent="0.2">
      <c r="A672" s="500"/>
      <c r="B672" s="500"/>
      <c r="C672" s="500"/>
      <c r="D672" s="500"/>
      <c r="E672" s="535"/>
      <c r="F672" s="170" t="s">
        <v>186</v>
      </c>
      <c r="G672" s="177">
        <v>355.11231300000003</v>
      </c>
      <c r="H672" s="171">
        <v>63.131077866666658</v>
      </c>
      <c r="I672" s="171">
        <f t="shared" si="46"/>
        <v>2040.3865314947743</v>
      </c>
      <c r="J672" s="171">
        <f t="shared" si="44"/>
        <v>724.56638061315675</v>
      </c>
      <c r="K672" s="181">
        <f t="shared" si="45"/>
        <v>1.1110197940408855E-2</v>
      </c>
    </row>
    <row r="673" spans="1:11" x14ac:dyDescent="0.2">
      <c r="A673" s="500"/>
      <c r="B673" s="500"/>
      <c r="C673" s="500"/>
      <c r="D673" s="500"/>
      <c r="E673" s="535"/>
      <c r="F673" s="170" t="s">
        <v>194</v>
      </c>
      <c r="G673" s="177">
        <v>1065.3369389999998</v>
      </c>
      <c r="H673" s="171">
        <v>150.46240224888891</v>
      </c>
      <c r="I673" s="171">
        <f t="shared" si="46"/>
        <v>15303.161238912106</v>
      </c>
      <c r="J673" s="171">
        <f t="shared" si="44"/>
        <v>16303.022951286066</v>
      </c>
      <c r="K673" s="181">
        <f t="shared" si="45"/>
        <v>0.18932703140285065</v>
      </c>
    </row>
    <row r="674" spans="1:11" x14ac:dyDescent="0.2">
      <c r="A674" s="500"/>
      <c r="B674" s="500"/>
      <c r="C674" s="500"/>
      <c r="D674" s="500"/>
      <c r="E674" s="535"/>
      <c r="F674" s="170" t="s">
        <v>195</v>
      </c>
      <c r="G674" s="177">
        <v>118.37077099999999</v>
      </c>
      <c r="H674" s="171">
        <v>47.348308400000001</v>
      </c>
      <c r="I674" s="171">
        <f t="shared" si="46"/>
        <v>1046.7779822263306</v>
      </c>
      <c r="J674" s="171">
        <f t="shared" si="44"/>
        <v>123.90791682195503</v>
      </c>
      <c r="K674" s="181">
        <f t="shared" si="45"/>
        <v>2.0831621138266607E-3</v>
      </c>
    </row>
    <row r="675" spans="1:11" x14ac:dyDescent="0.2">
      <c r="A675" s="500"/>
      <c r="B675" s="500"/>
      <c r="C675" s="500"/>
      <c r="D675" s="500"/>
      <c r="E675" s="535"/>
      <c r="F675" s="170" t="s">
        <v>196</v>
      </c>
      <c r="G675" s="177">
        <v>118.37077099999999</v>
      </c>
      <c r="H675" s="171">
        <v>142.04492520000002</v>
      </c>
      <c r="I675" s="171">
        <f t="shared" si="46"/>
        <v>13389.855496562584</v>
      </c>
      <c r="J675" s="171">
        <f t="shared" si="44"/>
        <v>1584.9675187067007</v>
      </c>
      <c r="K675" s="181">
        <f t="shared" si="45"/>
        <v>1.8748459024439956E-2</v>
      </c>
    </row>
    <row r="676" spans="1:11" x14ac:dyDescent="0.2">
      <c r="A676" s="500"/>
      <c r="B676" s="500"/>
      <c r="C676" s="500"/>
      <c r="D676" s="500"/>
      <c r="E676" s="535"/>
      <c r="F676" s="170" t="s">
        <v>197</v>
      </c>
      <c r="G676" s="177">
        <v>118.37077099999999</v>
      </c>
      <c r="H676" s="171">
        <v>94.696616800000001</v>
      </c>
      <c r="I676" s="171">
        <f t="shared" si="46"/>
        <v>5226.8997325228574</v>
      </c>
      <c r="J676" s="171">
        <f t="shared" si="44"/>
        <v>618.71215127842436</v>
      </c>
      <c r="K676" s="181">
        <f t="shared" si="45"/>
        <v>8.3326484553066429E-3</v>
      </c>
    </row>
    <row r="677" spans="1:11" x14ac:dyDescent="0.2">
      <c r="A677" s="500"/>
      <c r="B677" s="500"/>
      <c r="C677" s="500"/>
      <c r="D677" s="500"/>
      <c r="E677" s="535"/>
      <c r="F677" s="179" t="s">
        <v>182</v>
      </c>
      <c r="G677" s="177">
        <v>320.07456478399996</v>
      </c>
      <c r="H677" s="171">
        <v>265.15052703999999</v>
      </c>
      <c r="I677" s="171">
        <f t="shared" si="46"/>
        <v>56970.601111280615</v>
      </c>
      <c r="J677" s="171">
        <f t="shared" si="44"/>
        <v>18234.840356176006</v>
      </c>
      <c r="K677" s="181">
        <f t="shared" si="45"/>
        <v>0.17664681435748944</v>
      </c>
    </row>
    <row r="678" spans="1:11" x14ac:dyDescent="0.2">
      <c r="A678" s="500"/>
      <c r="B678" s="500"/>
      <c r="C678" s="500"/>
      <c r="D678" s="500"/>
      <c r="E678" s="535"/>
      <c r="F678" s="179" t="s">
        <v>187</v>
      </c>
      <c r="G678" s="177">
        <v>118.37077099999999</v>
      </c>
      <c r="H678" s="171">
        <v>568.17970080000009</v>
      </c>
      <c r="I678" s="171">
        <f t="shared" si="46"/>
        <v>333852.83615020855</v>
      </c>
      <c r="J678" s="171">
        <f t="shared" si="44"/>
        <v>39518.417615636856</v>
      </c>
      <c r="K678" s="181">
        <f t="shared" si="45"/>
        <v>0.29997534439103929</v>
      </c>
    </row>
    <row r="679" spans="1:11" x14ac:dyDescent="0.2">
      <c r="A679" s="500"/>
      <c r="B679" s="500"/>
      <c r="C679" s="500"/>
      <c r="D679" s="500"/>
      <c r="E679" s="535"/>
      <c r="F679" s="170" t="s">
        <v>198</v>
      </c>
      <c r="G679" s="177">
        <v>47.348308400000001</v>
      </c>
      <c r="H679" s="171">
        <v>189.3932336</v>
      </c>
      <c r="I679" s="171">
        <f t="shared" si="46"/>
        <v>26099.594448615786</v>
      </c>
      <c r="J679" s="171">
        <f t="shared" si="44"/>
        <v>1235.7716470679884</v>
      </c>
      <c r="K679" s="181">
        <f t="shared" si="45"/>
        <v>1.3332237528490632E-2</v>
      </c>
    </row>
    <row r="680" spans="1:11" x14ac:dyDescent="0.2">
      <c r="A680" s="500"/>
      <c r="B680" s="500"/>
      <c r="C680" s="500"/>
      <c r="D680" s="500"/>
      <c r="E680" s="535"/>
      <c r="F680" s="170" t="s">
        <v>173</v>
      </c>
      <c r="G680" s="177">
        <v>47.348308400000001</v>
      </c>
      <c r="H680" s="171">
        <v>56.817970080000002</v>
      </c>
      <c r="I680" s="171">
        <f t="shared" si="46"/>
        <v>1597.9201378874909</v>
      </c>
      <c r="J680" s="171">
        <f t="shared" si="44"/>
        <v>75.658815487267447</v>
      </c>
      <c r="K680" s="181">
        <f t="shared" si="45"/>
        <v>1.199901377564157E-3</v>
      </c>
    </row>
    <row r="681" spans="1:11" x14ac:dyDescent="0.2">
      <c r="A681" s="500"/>
      <c r="B681" s="500"/>
      <c r="C681" s="500"/>
      <c r="D681" s="500"/>
      <c r="E681" s="535"/>
      <c r="F681" s="170" t="s">
        <v>199</v>
      </c>
      <c r="G681" s="177">
        <v>189.3932336</v>
      </c>
      <c r="H681" s="171">
        <v>137.31009435999999</v>
      </c>
      <c r="I681" s="171">
        <f t="shared" si="46"/>
        <v>12377.072483725451</v>
      </c>
      <c r="J681" s="171">
        <f t="shared" si="44"/>
        <v>2344.1337801943469</v>
      </c>
      <c r="K681" s="181">
        <f t="shared" si="45"/>
        <v>2.8031029403651556E-2</v>
      </c>
    </row>
    <row r="682" spans="1:11" x14ac:dyDescent="0.2">
      <c r="A682" s="500"/>
      <c r="B682" s="500"/>
      <c r="C682" s="500"/>
      <c r="D682" s="500"/>
      <c r="E682" s="535"/>
      <c r="F682" s="170" t="s">
        <v>172</v>
      </c>
      <c r="G682" s="177">
        <v>87</v>
      </c>
      <c r="H682" s="171">
        <v>639.20216340000002</v>
      </c>
      <c r="I682" s="171">
        <f t="shared" si="46"/>
        <v>438761.91375700611</v>
      </c>
      <c r="J682" s="171">
        <f t="shared" si="44"/>
        <v>38172.286496859539</v>
      </c>
      <c r="K682" s="181">
        <f t="shared" si="45"/>
        <v>0.27903930511956437</v>
      </c>
    </row>
    <row r="683" spans="1:11" x14ac:dyDescent="0.2">
      <c r="A683" s="162">
        <v>12</v>
      </c>
      <c r="B683" s="75"/>
      <c r="C683" s="75"/>
      <c r="D683" s="75" t="s">
        <v>37</v>
      </c>
      <c r="E683" s="481">
        <f>Assumptions!D72</f>
        <v>2315.3180000000002</v>
      </c>
      <c r="F683" s="170" t="s">
        <v>323</v>
      </c>
      <c r="G683" s="177">
        <v>0</v>
      </c>
      <c r="H683" s="171">
        <v>0</v>
      </c>
      <c r="I683" s="171">
        <v>0</v>
      </c>
      <c r="J683" s="171">
        <f t="shared" si="44"/>
        <v>0</v>
      </c>
      <c r="K683" s="181">
        <f t="shared" si="45"/>
        <v>0</v>
      </c>
    </row>
    <row r="684" spans="1:11" x14ac:dyDescent="0.2">
      <c r="A684" s="500">
        <v>13</v>
      </c>
      <c r="B684" s="500"/>
      <c r="C684" s="500"/>
      <c r="D684" s="500" t="s">
        <v>35</v>
      </c>
      <c r="E684" s="535">
        <f>Assumptions!D73</f>
        <v>5717.201</v>
      </c>
      <c r="F684" s="179" t="s">
        <v>188</v>
      </c>
      <c r="G684" s="177">
        <v>47.348308400000001</v>
      </c>
      <c r="H684" s="171">
        <v>179.92357192</v>
      </c>
      <c r="I684" s="171">
        <f t="shared" si="46"/>
        <v>23171.413283749927</v>
      </c>
      <c r="J684" s="171">
        <f t="shared" si="44"/>
        <v>1097.1272222228483</v>
      </c>
      <c r="K684" s="181">
        <f t="shared" si="45"/>
        <v>1.2032344369462798E-2</v>
      </c>
    </row>
    <row r="685" spans="1:11" x14ac:dyDescent="0.2">
      <c r="A685" s="500"/>
      <c r="B685" s="500"/>
      <c r="C685" s="500"/>
      <c r="D685" s="500"/>
      <c r="E685" s="535"/>
      <c r="F685" s="179" t="s">
        <v>182</v>
      </c>
      <c r="G685" s="177">
        <v>47.348308400000001</v>
      </c>
      <c r="H685" s="171">
        <v>189.3932336</v>
      </c>
      <c r="I685" s="171">
        <f t="shared" si="46"/>
        <v>26099.594448615786</v>
      </c>
      <c r="J685" s="171">
        <f t="shared" si="44"/>
        <v>1235.7716470679884</v>
      </c>
      <c r="K685" s="181">
        <f t="shared" si="45"/>
        <v>1.3332237528490632E-2</v>
      </c>
    </row>
    <row r="686" spans="1:11" x14ac:dyDescent="0.2">
      <c r="A686" s="500"/>
      <c r="B686" s="500"/>
      <c r="C686" s="500"/>
      <c r="D686" s="500"/>
      <c r="E686" s="535"/>
      <c r="F686" s="179" t="s">
        <v>171</v>
      </c>
      <c r="G686" s="177">
        <v>142.04492520000002</v>
      </c>
      <c r="H686" s="171">
        <v>296.71606597333334</v>
      </c>
      <c r="I686" s="171">
        <f t="shared" si="46"/>
        <v>73957.032771966551</v>
      </c>
      <c r="J686" s="171">
        <f t="shared" ref="J686:J721" si="47">(I686*G686)/1000</f>
        <v>10505.22118810794</v>
      </c>
      <c r="K686" s="181">
        <f t="shared" ref="K686:K721" si="48">0.00000001*3.14*(H686/2)^2*G686</f>
        <v>9.8169709001452693E-2</v>
      </c>
    </row>
    <row r="687" spans="1:11" x14ac:dyDescent="0.2">
      <c r="A687" s="500"/>
      <c r="B687" s="500"/>
      <c r="C687" s="500"/>
      <c r="D687" s="500"/>
      <c r="E687" s="535"/>
      <c r="F687" s="179" t="s">
        <v>172</v>
      </c>
      <c r="G687" s="177">
        <v>568.17970080000009</v>
      </c>
      <c r="H687" s="171">
        <v>270.67449635333332</v>
      </c>
      <c r="I687" s="171">
        <f t="shared" ref="I687:I721" si="49">EXP(-1.996+2.32*LN(H687))</f>
        <v>59762.125718199721</v>
      </c>
      <c r="J687" s="171">
        <f t="shared" si="47"/>
        <v>33955.62670973871</v>
      </c>
      <c r="K687" s="181">
        <f t="shared" si="48"/>
        <v>0.32677591937279055</v>
      </c>
    </row>
    <row r="688" spans="1:11" x14ac:dyDescent="0.2">
      <c r="A688" s="500">
        <v>14</v>
      </c>
      <c r="B688" s="500"/>
      <c r="C688" s="500"/>
      <c r="D688" s="500" t="s">
        <v>35</v>
      </c>
      <c r="E688" s="535">
        <f>Assumptions!D74</f>
        <v>3768.0449999999996</v>
      </c>
      <c r="F688" s="179" t="s">
        <v>201</v>
      </c>
      <c r="G688" s="177">
        <v>94.696616800000001</v>
      </c>
      <c r="H688" s="171">
        <v>94.696616800000001</v>
      </c>
      <c r="I688" s="171">
        <f t="shared" si="49"/>
        <v>5226.8997325228574</v>
      </c>
      <c r="J688" s="171">
        <f t="shared" si="47"/>
        <v>494.96972102273952</v>
      </c>
      <c r="K688" s="181">
        <f t="shared" si="48"/>
        <v>6.6661187642453159E-3</v>
      </c>
    </row>
    <row r="689" spans="1:11" x14ac:dyDescent="0.2">
      <c r="A689" s="500"/>
      <c r="B689" s="500"/>
      <c r="C689" s="500"/>
      <c r="D689" s="500"/>
      <c r="E689" s="535"/>
      <c r="F689" s="179" t="s">
        <v>200</v>
      </c>
      <c r="G689" s="177">
        <v>1515.1458688</v>
      </c>
      <c r="H689" s="171">
        <v>66.879485615000007</v>
      </c>
      <c r="I689" s="171">
        <f t="shared" si="49"/>
        <v>2332.5330080765048</v>
      </c>
      <c r="J689" s="171">
        <f t="shared" si="47"/>
        <v>3534.1277510267532</v>
      </c>
      <c r="K689" s="181">
        <f t="shared" si="48"/>
        <v>5.3199794062905294E-2</v>
      </c>
    </row>
    <row r="690" spans="1:11" x14ac:dyDescent="0.2">
      <c r="A690" s="500"/>
      <c r="B690" s="500"/>
      <c r="C690" s="500"/>
      <c r="D690" s="500"/>
      <c r="E690" s="535"/>
      <c r="F690" s="179" t="s">
        <v>171</v>
      </c>
      <c r="G690" s="177">
        <v>378.7864672</v>
      </c>
      <c r="H690" s="171">
        <v>118.37077099999999</v>
      </c>
      <c r="I690" s="171">
        <f t="shared" si="49"/>
        <v>8771.5309336571954</v>
      </c>
      <c r="J690" s="171">
        <f t="shared" si="47"/>
        <v>3322.5372142955266</v>
      </c>
      <c r="K690" s="181">
        <f t="shared" si="48"/>
        <v>4.1663242276533216E-2</v>
      </c>
    </row>
    <row r="691" spans="1:11" x14ac:dyDescent="0.2">
      <c r="A691" s="500">
        <v>15</v>
      </c>
      <c r="B691" s="500"/>
      <c r="C691" s="500"/>
      <c r="D691" s="500" t="s">
        <v>34</v>
      </c>
      <c r="E691" s="535">
        <f>Assumptions!D75</f>
        <v>236.66199999999998</v>
      </c>
      <c r="F691" s="179" t="s">
        <v>292</v>
      </c>
      <c r="G691" s="177">
        <v>52.083139239999994</v>
      </c>
      <c r="H691" s="171">
        <v>75.757293439999998</v>
      </c>
      <c r="I691" s="171">
        <f t="shared" si="49"/>
        <v>3114.6764482145581</v>
      </c>
      <c r="J691" s="171">
        <f t="shared" si="47"/>
        <v>162.22212713990749</v>
      </c>
      <c r="K691" s="181">
        <f t="shared" si="48"/>
        <v>2.3464738050143511E-3</v>
      </c>
    </row>
    <row r="692" spans="1:11" x14ac:dyDescent="0.2">
      <c r="A692" s="500"/>
      <c r="B692" s="500"/>
      <c r="C692" s="500"/>
      <c r="D692" s="500"/>
      <c r="E692" s="535"/>
      <c r="F692" s="179" t="s">
        <v>293</v>
      </c>
      <c r="G692" s="177">
        <v>124.999534176</v>
      </c>
      <c r="H692" s="171">
        <v>295.45344441600002</v>
      </c>
      <c r="I692" s="171">
        <f t="shared" si="49"/>
        <v>73228.953411223905</v>
      </c>
      <c r="J692" s="171">
        <f t="shared" si="47"/>
        <v>9153.585064598994</v>
      </c>
      <c r="K692" s="181">
        <f t="shared" si="48"/>
        <v>8.5655679778243898E-2</v>
      </c>
    </row>
    <row r="693" spans="1:11" x14ac:dyDescent="0.2">
      <c r="A693" s="162">
        <v>16</v>
      </c>
      <c r="B693" s="162"/>
      <c r="C693" s="162"/>
      <c r="D693" s="162" t="s">
        <v>35</v>
      </c>
      <c r="E693" s="171">
        <f>Assumptions!D76</f>
        <v>6640.8160000000016</v>
      </c>
      <c r="F693" s="179" t="s">
        <v>323</v>
      </c>
      <c r="G693" s="177">
        <v>0</v>
      </c>
      <c r="H693" s="171">
        <v>0</v>
      </c>
      <c r="I693" s="171">
        <v>0</v>
      </c>
      <c r="J693" s="171">
        <f t="shared" si="47"/>
        <v>0</v>
      </c>
      <c r="K693" s="181">
        <f t="shared" si="48"/>
        <v>0</v>
      </c>
    </row>
    <row r="694" spans="1:11" x14ac:dyDescent="0.2">
      <c r="A694" s="162">
        <v>17</v>
      </c>
      <c r="B694" s="75"/>
      <c r="C694" s="75"/>
      <c r="D694" s="75" t="s">
        <v>36</v>
      </c>
      <c r="E694" s="481">
        <f>Assumptions!D77</f>
        <v>837.08299999999997</v>
      </c>
      <c r="F694" s="179" t="s">
        <v>323</v>
      </c>
      <c r="G694" s="177">
        <v>0</v>
      </c>
      <c r="H694" s="171">
        <v>0</v>
      </c>
      <c r="I694" s="171">
        <v>0</v>
      </c>
      <c r="J694" s="171">
        <f t="shared" si="47"/>
        <v>0</v>
      </c>
      <c r="K694" s="181">
        <f t="shared" si="48"/>
        <v>0</v>
      </c>
    </row>
    <row r="695" spans="1:11" x14ac:dyDescent="0.2">
      <c r="A695" s="500">
        <v>18</v>
      </c>
      <c r="B695" s="500"/>
      <c r="C695" s="500"/>
      <c r="D695" s="500" t="s">
        <v>34</v>
      </c>
      <c r="E695" s="535">
        <f>Assumptions!D78</f>
        <v>1849.3409999999997</v>
      </c>
      <c r="F695" s="173" t="s">
        <v>308</v>
      </c>
      <c r="G695" s="178">
        <v>946.96616799999993</v>
      </c>
      <c r="H695" s="171">
        <v>62.499767087999999</v>
      </c>
      <c r="I695" s="171">
        <f t="shared" si="49"/>
        <v>1993.3616541291037</v>
      </c>
      <c r="J695" s="171">
        <f t="shared" si="47"/>
        <v>1887.6460470487784</v>
      </c>
      <c r="K695" s="181">
        <f t="shared" si="48"/>
        <v>2.9037613337052591E-2</v>
      </c>
    </row>
    <row r="696" spans="1:11" x14ac:dyDescent="0.2">
      <c r="A696" s="500"/>
      <c r="B696" s="500"/>
      <c r="C696" s="500"/>
      <c r="D696" s="500"/>
      <c r="E696" s="535"/>
      <c r="F696" s="173" t="s">
        <v>309</v>
      </c>
      <c r="G696" s="178">
        <v>236.74154199999998</v>
      </c>
      <c r="H696" s="171">
        <v>71.969428768</v>
      </c>
      <c r="I696" s="171">
        <f t="shared" si="49"/>
        <v>2765.2328226337454</v>
      </c>
      <c r="J696" s="171">
        <f t="shared" si="47"/>
        <v>654.64548241932539</v>
      </c>
      <c r="K696" s="181">
        <f t="shared" si="48"/>
        <v>9.6258754955702349E-3</v>
      </c>
    </row>
    <row r="697" spans="1:11" x14ac:dyDescent="0.2">
      <c r="A697" s="500"/>
      <c r="B697" s="500"/>
      <c r="C697" s="500"/>
      <c r="D697" s="500"/>
      <c r="E697" s="535"/>
      <c r="F697" s="173" t="s">
        <v>310</v>
      </c>
      <c r="G697" s="178">
        <v>47.348308400000001</v>
      </c>
      <c r="H697" s="171">
        <v>75.757293439999998</v>
      </c>
      <c r="I697" s="171">
        <f t="shared" si="49"/>
        <v>3114.6764482145581</v>
      </c>
      <c r="J697" s="171">
        <f t="shared" si="47"/>
        <v>147.47466103627951</v>
      </c>
      <c r="K697" s="181">
        <f t="shared" si="48"/>
        <v>2.1331580045585012E-3</v>
      </c>
    </row>
    <row r="698" spans="1:11" x14ac:dyDescent="0.2">
      <c r="A698" s="500"/>
      <c r="B698" s="500"/>
      <c r="C698" s="500"/>
      <c r="D698" s="500"/>
      <c r="E698" s="535"/>
      <c r="F698" s="173" t="s">
        <v>185</v>
      </c>
      <c r="G698" s="178">
        <v>47.348308400000001</v>
      </c>
      <c r="H698" s="171">
        <v>94.696616800000001</v>
      </c>
      <c r="I698" s="171">
        <f t="shared" si="49"/>
        <v>5226.8997325228574</v>
      </c>
      <c r="J698" s="171">
        <f t="shared" si="47"/>
        <v>247.48486051136976</v>
      </c>
      <c r="K698" s="181">
        <f t="shared" si="48"/>
        <v>3.3330593821226579E-3</v>
      </c>
    </row>
    <row r="699" spans="1:11" x14ac:dyDescent="0.2">
      <c r="A699" s="500"/>
      <c r="B699" s="500"/>
      <c r="C699" s="500"/>
      <c r="D699" s="500"/>
      <c r="E699" s="535"/>
      <c r="F699" s="173" t="s">
        <v>311</v>
      </c>
      <c r="G699" s="178">
        <v>236.74154199999998</v>
      </c>
      <c r="H699" s="171">
        <v>66.287631759999996</v>
      </c>
      <c r="I699" s="171">
        <f t="shared" si="49"/>
        <v>2284.9232770607355</v>
      </c>
      <c r="J699" s="171">
        <f t="shared" si="47"/>
        <v>540.93625996305161</v>
      </c>
      <c r="K699" s="181">
        <f t="shared" si="48"/>
        <v>8.165995486200511E-3</v>
      </c>
    </row>
    <row r="700" spans="1:11" x14ac:dyDescent="0.2">
      <c r="A700" s="500"/>
      <c r="B700" s="500"/>
      <c r="C700" s="500"/>
      <c r="D700" s="500"/>
      <c r="E700" s="535"/>
      <c r="F700" s="173" t="s">
        <v>295</v>
      </c>
      <c r="G700" s="178">
        <v>94.696616800000001</v>
      </c>
      <c r="H700" s="171">
        <v>80.492124279999999</v>
      </c>
      <c r="I700" s="171">
        <f t="shared" si="49"/>
        <v>3585.0570967966382</v>
      </c>
      <c r="J700" s="171">
        <f t="shared" si="47"/>
        <v>339.4927781014718</v>
      </c>
      <c r="K700" s="181">
        <f t="shared" si="48"/>
        <v>4.8162708071672403E-3</v>
      </c>
    </row>
    <row r="701" spans="1:11" x14ac:dyDescent="0.2">
      <c r="A701" s="500"/>
      <c r="B701" s="500"/>
      <c r="C701" s="500"/>
      <c r="D701" s="500"/>
      <c r="E701" s="535"/>
      <c r="F701" s="173" t="s">
        <v>312</v>
      </c>
      <c r="G701" s="178">
        <v>946.96616799999993</v>
      </c>
      <c r="H701" s="171">
        <v>75.757293439999998</v>
      </c>
      <c r="I701" s="171">
        <f t="shared" si="49"/>
        <v>3114.6764482145581</v>
      </c>
      <c r="J701" s="171">
        <f t="shared" si="47"/>
        <v>2949.4932207255902</v>
      </c>
      <c r="K701" s="181">
        <f t="shared" si="48"/>
        <v>4.2663160091170022E-2</v>
      </c>
    </row>
    <row r="702" spans="1:11" x14ac:dyDescent="0.2">
      <c r="A702" s="500"/>
      <c r="B702" s="500"/>
      <c r="C702" s="500"/>
      <c r="D702" s="500"/>
      <c r="E702" s="535"/>
      <c r="F702" s="173" t="s">
        <v>313</v>
      </c>
      <c r="G702" s="178">
        <v>236.74154199999998</v>
      </c>
      <c r="H702" s="171">
        <v>179.92357192</v>
      </c>
      <c r="I702" s="171">
        <f t="shared" si="49"/>
        <v>23171.413283749927</v>
      </c>
      <c r="J702" s="171">
        <f t="shared" si="47"/>
        <v>5485.6361111142414</v>
      </c>
      <c r="K702" s="181">
        <f t="shared" si="48"/>
        <v>6.0161721847313977E-2</v>
      </c>
    </row>
    <row r="703" spans="1:11" x14ac:dyDescent="0.2">
      <c r="A703" s="500"/>
      <c r="B703" s="500"/>
      <c r="C703" s="500"/>
      <c r="D703" s="500"/>
      <c r="E703" s="535"/>
      <c r="F703" s="173" t="s">
        <v>314</v>
      </c>
      <c r="G703" s="178">
        <v>142.04492520000002</v>
      </c>
      <c r="H703" s="171">
        <v>107.007176984</v>
      </c>
      <c r="I703" s="171">
        <f t="shared" si="49"/>
        <v>6940.4264784852003</v>
      </c>
      <c r="J703" s="171">
        <f t="shared" si="47"/>
        <v>985.85235999252984</v>
      </c>
      <c r="K703" s="181">
        <f t="shared" si="48"/>
        <v>1.2767950575097267E-2</v>
      </c>
    </row>
    <row r="704" spans="1:11" x14ac:dyDescent="0.2">
      <c r="A704" s="500"/>
      <c r="B704" s="500"/>
      <c r="C704" s="500"/>
      <c r="D704" s="500"/>
      <c r="E704" s="535"/>
      <c r="F704" s="173" t="s">
        <v>315</v>
      </c>
      <c r="G704" s="178">
        <v>1041.6627848000001</v>
      </c>
      <c r="H704" s="171">
        <v>299.24130908799998</v>
      </c>
      <c r="I704" s="171">
        <f t="shared" si="49"/>
        <v>75425.50051636275</v>
      </c>
      <c r="J704" s="171">
        <f t="shared" si="47"/>
        <v>78567.936912808276</v>
      </c>
      <c r="K704" s="181">
        <f t="shared" si="48"/>
        <v>0.73221715085472827</v>
      </c>
    </row>
    <row r="705" spans="1:11" x14ac:dyDescent="0.2">
      <c r="A705" s="500"/>
      <c r="B705" s="500"/>
      <c r="C705" s="500"/>
      <c r="D705" s="500"/>
      <c r="E705" s="535"/>
      <c r="F705" s="173" t="s">
        <v>316</v>
      </c>
      <c r="G705" s="178">
        <v>236.74154199999998</v>
      </c>
      <c r="H705" s="171">
        <v>293.55951208000005</v>
      </c>
      <c r="I705" s="171">
        <f t="shared" si="49"/>
        <v>72144.511785743452</v>
      </c>
      <c r="J705" s="171">
        <f t="shared" si="47"/>
        <v>17079.602966994076</v>
      </c>
      <c r="K705" s="181">
        <f t="shared" si="48"/>
        <v>0.16015350331099376</v>
      </c>
    </row>
    <row r="706" spans="1:11" x14ac:dyDescent="0.2">
      <c r="A706" s="500"/>
      <c r="B706" s="500"/>
      <c r="C706" s="500"/>
      <c r="D706" s="500"/>
      <c r="E706" s="535"/>
      <c r="F706" s="173" t="s">
        <v>317</v>
      </c>
      <c r="G706" s="178">
        <v>236.74154199999998</v>
      </c>
      <c r="H706" s="171">
        <v>292.61254591199997</v>
      </c>
      <c r="I706" s="171">
        <f t="shared" si="49"/>
        <v>71605.740680320654</v>
      </c>
      <c r="J706" s="171">
        <f t="shared" si="47"/>
        <v>16952.053464711236</v>
      </c>
      <c r="K706" s="181">
        <f t="shared" si="48"/>
        <v>0.1591219214322267</v>
      </c>
    </row>
    <row r="707" spans="1:11" x14ac:dyDescent="0.2">
      <c r="A707" s="500"/>
      <c r="B707" s="500"/>
      <c r="C707" s="500"/>
      <c r="D707" s="500"/>
      <c r="E707" s="535"/>
      <c r="F707" s="173" t="s">
        <v>172</v>
      </c>
      <c r="G707" s="178">
        <v>520.83139240000003</v>
      </c>
      <c r="H707" s="171">
        <v>172.34784257600001</v>
      </c>
      <c r="I707" s="171">
        <f t="shared" si="49"/>
        <v>20970.548468161593</v>
      </c>
      <c r="J707" s="171">
        <f t="shared" si="47"/>
        <v>10922.11995806429</v>
      </c>
      <c r="K707" s="181">
        <f t="shared" si="48"/>
        <v>0.12144468487077403</v>
      </c>
    </row>
    <row r="708" spans="1:11" x14ac:dyDescent="0.2">
      <c r="A708" s="500"/>
      <c r="B708" s="500"/>
      <c r="C708" s="500"/>
      <c r="D708" s="500"/>
      <c r="E708" s="535"/>
      <c r="F708" s="173" t="s">
        <v>318</v>
      </c>
      <c r="G708" s="178">
        <v>497.15723819999994</v>
      </c>
      <c r="H708" s="171">
        <v>160.98424856</v>
      </c>
      <c r="I708" s="171">
        <f t="shared" si="49"/>
        <v>17901.345173951064</v>
      </c>
      <c r="J708" s="171">
        <f t="shared" si="47"/>
        <v>8899.7833267464084</v>
      </c>
      <c r="K708" s="181">
        <f t="shared" si="48"/>
        <v>0.10114168695051204</v>
      </c>
    </row>
    <row r="709" spans="1:11" x14ac:dyDescent="0.2">
      <c r="A709" s="500"/>
      <c r="B709" s="500"/>
      <c r="C709" s="500"/>
      <c r="D709" s="500"/>
      <c r="E709" s="535"/>
      <c r="F709" s="173" t="s">
        <v>319</v>
      </c>
      <c r="G709" s="178">
        <v>213.06738779999998</v>
      </c>
      <c r="H709" s="171">
        <v>265.15052703999999</v>
      </c>
      <c r="I709" s="171">
        <f t="shared" si="49"/>
        <v>56970.601111280615</v>
      </c>
      <c r="J709" s="171">
        <f t="shared" si="47"/>
        <v>12138.577160176337</v>
      </c>
      <c r="K709" s="181">
        <f t="shared" si="48"/>
        <v>0.11759033500128735</v>
      </c>
    </row>
    <row r="710" spans="1:11" x14ac:dyDescent="0.2">
      <c r="A710" s="500"/>
      <c r="B710" s="500"/>
      <c r="C710" s="500"/>
      <c r="D710" s="500"/>
      <c r="E710" s="535"/>
      <c r="F710" s="173" t="s">
        <v>320</v>
      </c>
      <c r="G710" s="178">
        <v>47.348308400000001</v>
      </c>
      <c r="H710" s="171">
        <v>293.55951208000005</v>
      </c>
      <c r="I710" s="171">
        <f t="shared" si="49"/>
        <v>72144.511785743452</v>
      </c>
      <c r="J710" s="171">
        <f t="shared" si="47"/>
        <v>3415.920593398816</v>
      </c>
      <c r="K710" s="181">
        <f t="shared" si="48"/>
        <v>3.2030700662198756E-2</v>
      </c>
    </row>
    <row r="711" spans="1:11" x14ac:dyDescent="0.2">
      <c r="A711" s="162">
        <v>19</v>
      </c>
      <c r="B711" s="75"/>
      <c r="C711" s="75"/>
      <c r="D711" s="75" t="s">
        <v>37</v>
      </c>
      <c r="E711" s="481">
        <f>Assumptions!D79</f>
        <v>7884.7310000000007</v>
      </c>
      <c r="F711" s="173" t="s">
        <v>323</v>
      </c>
      <c r="G711" s="177">
        <v>0</v>
      </c>
      <c r="H711" s="171">
        <v>0</v>
      </c>
      <c r="I711" s="171">
        <v>0</v>
      </c>
      <c r="J711" s="171">
        <f t="shared" si="47"/>
        <v>0</v>
      </c>
      <c r="K711" s="181">
        <f t="shared" si="48"/>
        <v>0</v>
      </c>
    </row>
    <row r="712" spans="1:11" x14ac:dyDescent="0.2">
      <c r="A712" s="162">
        <v>20</v>
      </c>
      <c r="B712" s="75"/>
      <c r="C712" s="75"/>
      <c r="D712" s="75" t="s">
        <v>36</v>
      </c>
      <c r="E712" s="481">
        <f>Assumptions!D80</f>
        <v>2195.1750000000002</v>
      </c>
      <c r="F712" s="173" t="s">
        <v>323</v>
      </c>
      <c r="G712" s="177">
        <v>0</v>
      </c>
      <c r="H712" s="171">
        <v>0</v>
      </c>
      <c r="I712" s="171">
        <v>0</v>
      </c>
      <c r="J712" s="171">
        <f t="shared" si="47"/>
        <v>0</v>
      </c>
      <c r="K712" s="181">
        <f t="shared" si="48"/>
        <v>0</v>
      </c>
    </row>
    <row r="713" spans="1:11" x14ac:dyDescent="0.2">
      <c r="A713" s="162">
        <v>21</v>
      </c>
      <c r="B713" s="75"/>
      <c r="C713" s="75"/>
      <c r="D713" s="75" t="s">
        <v>37</v>
      </c>
      <c r="E713" s="481">
        <f>Assumptions!D81</f>
        <v>454.25200000000001</v>
      </c>
      <c r="F713" s="173" t="s">
        <v>323</v>
      </c>
      <c r="G713" s="177">
        <v>0</v>
      </c>
      <c r="H713" s="171">
        <v>0</v>
      </c>
      <c r="I713" s="171">
        <v>0</v>
      </c>
      <c r="J713" s="171">
        <f t="shared" si="47"/>
        <v>0</v>
      </c>
      <c r="K713" s="181">
        <f t="shared" si="48"/>
        <v>0</v>
      </c>
    </row>
    <row r="714" spans="1:11" x14ac:dyDescent="0.2">
      <c r="A714" s="500">
        <v>22</v>
      </c>
      <c r="B714" s="500"/>
      <c r="C714" s="500"/>
      <c r="D714" s="500" t="s">
        <v>35</v>
      </c>
      <c r="E714" s="535">
        <f>Assumptions!D82</f>
        <v>18064.454000000005</v>
      </c>
      <c r="F714" s="179" t="s">
        <v>175</v>
      </c>
      <c r="G714" s="177">
        <v>94.696616800000001</v>
      </c>
      <c r="H714" s="171">
        <v>67.640440571428556</v>
      </c>
      <c r="I714" s="171">
        <f t="shared" si="49"/>
        <v>2394.5677346102807</v>
      </c>
      <c r="J714" s="171">
        <f t="shared" si="47"/>
        <v>226.75746316603386</v>
      </c>
      <c r="K714" s="181">
        <f t="shared" si="48"/>
        <v>3.401081002165976E-3</v>
      </c>
    </row>
    <row r="715" spans="1:11" x14ac:dyDescent="0.2">
      <c r="A715" s="500"/>
      <c r="B715" s="500"/>
      <c r="C715" s="500"/>
      <c r="D715" s="500"/>
      <c r="E715" s="535"/>
      <c r="F715" s="179" t="s">
        <v>172</v>
      </c>
      <c r="G715" s="177">
        <v>710.22462600000006</v>
      </c>
      <c r="H715" s="171">
        <v>170.45391024</v>
      </c>
      <c r="I715" s="171">
        <f t="shared" si="49"/>
        <v>20439.787714922262</v>
      </c>
      <c r="J715" s="171">
        <f t="shared" si="47"/>
        <v>14516.840585350059</v>
      </c>
      <c r="K715" s="181">
        <f t="shared" si="48"/>
        <v>0.1619866859711612</v>
      </c>
    </row>
    <row r="716" spans="1:11" x14ac:dyDescent="0.2">
      <c r="A716" s="500"/>
      <c r="B716" s="500"/>
      <c r="C716" s="500"/>
      <c r="D716" s="500"/>
      <c r="E716" s="535"/>
      <c r="F716" s="179" t="s">
        <v>202</v>
      </c>
      <c r="G716" s="177">
        <v>47.348308400000001</v>
      </c>
      <c r="H716" s="171">
        <v>118.05511561066668</v>
      </c>
      <c r="I716" s="171">
        <f t="shared" si="49"/>
        <v>8717.359877541905</v>
      </c>
      <c r="J716" s="171">
        <f t="shared" si="47"/>
        <v>412.75224391564035</v>
      </c>
      <c r="K716" s="181">
        <f t="shared" si="48"/>
        <v>5.1801668237087661E-3</v>
      </c>
    </row>
    <row r="717" spans="1:11" x14ac:dyDescent="0.2">
      <c r="A717" s="500"/>
      <c r="B717" s="500"/>
      <c r="C717" s="500"/>
      <c r="D717" s="500"/>
      <c r="E717" s="535"/>
      <c r="F717" s="179" t="s">
        <v>177</v>
      </c>
      <c r="G717" s="177">
        <v>426.13477559999995</v>
      </c>
      <c r="H717" s="171">
        <v>97.853170693333325</v>
      </c>
      <c r="I717" s="171">
        <f t="shared" si="49"/>
        <v>5640.0374518732688</v>
      </c>
      <c r="J717" s="171">
        <f t="shared" si="47"/>
        <v>2403.4160939296112</v>
      </c>
      <c r="K717" s="181">
        <f t="shared" si="48"/>
        <v>3.2030700662198729E-2</v>
      </c>
    </row>
    <row r="718" spans="1:11" x14ac:dyDescent="0.2">
      <c r="A718" s="500"/>
      <c r="B718" s="500"/>
      <c r="C718" s="500"/>
      <c r="D718" s="500"/>
      <c r="E718" s="535"/>
      <c r="F718" s="179" t="s">
        <v>188</v>
      </c>
      <c r="G718" s="177">
        <v>331.4381588</v>
      </c>
      <c r="H718" s="171">
        <v>111.53157089777777</v>
      </c>
      <c r="I718" s="171">
        <f t="shared" si="49"/>
        <v>7640.3130702129147</v>
      </c>
      <c r="J718" s="171">
        <f t="shared" si="47"/>
        <v>2532.2912966469435</v>
      </c>
      <c r="K718" s="181">
        <f t="shared" si="48"/>
        <v>3.2364418089223614E-2</v>
      </c>
    </row>
    <row r="719" spans="1:11" x14ac:dyDescent="0.2">
      <c r="A719" s="500"/>
      <c r="B719" s="500"/>
      <c r="C719" s="500"/>
      <c r="D719" s="500"/>
      <c r="E719" s="535"/>
      <c r="F719" s="179" t="s">
        <v>173</v>
      </c>
      <c r="G719" s="177">
        <v>994.31447639999988</v>
      </c>
      <c r="H719" s="171">
        <v>49.60298975238095</v>
      </c>
      <c r="I719" s="171">
        <f t="shared" si="49"/>
        <v>1166.0748670509454</v>
      </c>
      <c r="J719" s="171">
        <f t="shared" si="47"/>
        <v>1159.4451208749601</v>
      </c>
      <c r="K719" s="181">
        <f t="shared" si="48"/>
        <v>1.9204770725563883E-2</v>
      </c>
    </row>
    <row r="720" spans="1:11" x14ac:dyDescent="0.2">
      <c r="A720" s="500"/>
      <c r="B720" s="500"/>
      <c r="C720" s="500"/>
      <c r="D720" s="500"/>
      <c r="E720" s="535"/>
      <c r="F720" s="179" t="s">
        <v>185</v>
      </c>
      <c r="G720" s="177">
        <v>284.08985040000005</v>
      </c>
      <c r="H720" s="171">
        <v>208.33255696000001</v>
      </c>
      <c r="I720" s="171">
        <f t="shared" si="49"/>
        <v>32558.530009498358</v>
      </c>
      <c r="J720" s="171">
        <f t="shared" si="47"/>
        <v>9249.5479196423021</v>
      </c>
      <c r="K720" s="181">
        <f t="shared" si="48"/>
        <v>9.6792044456842002E-2</v>
      </c>
    </row>
    <row r="721" spans="1:11" x14ac:dyDescent="0.2">
      <c r="A721" s="500"/>
      <c r="B721" s="500"/>
      <c r="C721" s="500"/>
      <c r="D721" s="500"/>
      <c r="E721" s="535"/>
      <c r="F721" s="179" t="s">
        <v>170</v>
      </c>
      <c r="G721" s="177">
        <v>94.696616800000001</v>
      </c>
      <c r="H721" s="171">
        <v>56.817970080000002</v>
      </c>
      <c r="I721" s="171">
        <f t="shared" si="49"/>
        <v>1597.9201378874909</v>
      </c>
      <c r="J721" s="171">
        <f t="shared" si="47"/>
        <v>151.31763097453489</v>
      </c>
      <c r="K721" s="181">
        <f t="shared" si="48"/>
        <v>2.399802755128314E-3</v>
      </c>
    </row>
    <row r="722" spans="1:11" x14ac:dyDescent="0.2">
      <c r="A722" s="152">
        <v>2020</v>
      </c>
      <c r="E722" s="81"/>
    </row>
    <row r="723" spans="1:11" ht="26" x14ac:dyDescent="0.2">
      <c r="A723" s="499" t="s">
        <v>8</v>
      </c>
      <c r="B723" s="499" t="s">
        <v>169</v>
      </c>
      <c r="C723" s="499" t="s">
        <v>31</v>
      </c>
      <c r="D723" s="499" t="s">
        <v>32</v>
      </c>
      <c r="E723" s="158" t="s">
        <v>65</v>
      </c>
      <c r="F723" s="499" t="s">
        <v>494</v>
      </c>
      <c r="G723" s="151" t="s">
        <v>495</v>
      </c>
      <c r="H723" s="151" t="s">
        <v>511</v>
      </c>
      <c r="I723" s="151" t="s">
        <v>205</v>
      </c>
      <c r="J723" s="151" t="s">
        <v>497</v>
      </c>
      <c r="K723" s="160" t="s">
        <v>513</v>
      </c>
    </row>
    <row r="724" spans="1:11" x14ac:dyDescent="0.2">
      <c r="A724" s="500"/>
      <c r="B724" s="500"/>
      <c r="C724" s="500"/>
      <c r="D724" s="500"/>
      <c r="E724" s="162" t="s">
        <v>499</v>
      </c>
      <c r="F724" s="500"/>
      <c r="G724" s="162" t="s">
        <v>506</v>
      </c>
      <c r="H724" s="162" t="s">
        <v>500</v>
      </c>
      <c r="I724" s="171" t="s">
        <v>501</v>
      </c>
      <c r="J724" s="171"/>
      <c r="K724" s="172"/>
    </row>
    <row r="725" spans="1:11" ht="15" customHeight="1" x14ac:dyDescent="0.2">
      <c r="A725" s="500">
        <v>1</v>
      </c>
      <c r="B725" s="500"/>
      <c r="C725" s="500"/>
      <c r="D725" s="500" t="s">
        <v>34</v>
      </c>
      <c r="E725" s="535">
        <f>Assumptions!D61</f>
        <v>183.761</v>
      </c>
      <c r="F725" s="173" t="s">
        <v>292</v>
      </c>
      <c r="G725" s="174">
        <v>48.859082666666666</v>
      </c>
      <c r="H725" s="171">
        <v>77.467361333333329</v>
      </c>
      <c r="I725" s="175">
        <f>EXP(-1.996+2.32*LN(H725))</f>
        <v>3280.2258387190309</v>
      </c>
      <c r="J725" s="175">
        <f t="shared" ref="J725:J788" si="50">(I725*G725)/1000</f>
        <v>160.26882541930914</v>
      </c>
      <c r="K725" s="176">
        <f t="shared" ref="K725:K788" si="51">0.00000001*3.14*(H725/2)^2*G725</f>
        <v>2.301720005404009E-3</v>
      </c>
    </row>
    <row r="726" spans="1:11" x14ac:dyDescent="0.2">
      <c r="A726" s="500"/>
      <c r="B726" s="500"/>
      <c r="C726" s="500"/>
      <c r="D726" s="500"/>
      <c r="E726" s="535"/>
      <c r="F726" s="173" t="s">
        <v>293</v>
      </c>
      <c r="G726" s="177">
        <v>96.432400000000001</v>
      </c>
      <c r="H726" s="171">
        <v>58.180881333333339</v>
      </c>
      <c r="I726" s="175">
        <f t="shared" ref="I726:I789" si="52">EXP(-1.996+2.32*LN(H726))</f>
        <v>1688.2567710092344</v>
      </c>
      <c r="J726" s="175">
        <f t="shared" si="50"/>
        <v>162.8026522446709</v>
      </c>
      <c r="K726" s="176">
        <f t="shared" si="51"/>
        <v>2.5624371600269937E-3</v>
      </c>
    </row>
    <row r="727" spans="1:11" x14ac:dyDescent="0.2">
      <c r="A727" s="500"/>
      <c r="B727" s="500"/>
      <c r="C727" s="500"/>
      <c r="D727" s="500"/>
      <c r="E727" s="535"/>
      <c r="F727" s="173" t="s">
        <v>294</v>
      </c>
      <c r="G727" s="174">
        <v>820.639724</v>
      </c>
      <c r="H727" s="171">
        <v>53.359261333333336</v>
      </c>
      <c r="I727" s="175">
        <f t="shared" si="52"/>
        <v>1381.2585227513846</v>
      </c>
      <c r="J727" s="175">
        <f t="shared" si="50"/>
        <v>1133.5156128833441</v>
      </c>
      <c r="K727" s="176">
        <f t="shared" si="51"/>
        <v>1.8341793944882619E-2</v>
      </c>
    </row>
    <row r="728" spans="1:11" x14ac:dyDescent="0.2">
      <c r="A728" s="500"/>
      <c r="B728" s="500"/>
      <c r="C728" s="500"/>
      <c r="D728" s="500"/>
      <c r="E728" s="535"/>
      <c r="F728" s="173" t="s">
        <v>295</v>
      </c>
      <c r="G728" s="178">
        <v>193.18624133333336</v>
      </c>
      <c r="H728" s="171">
        <v>80.038892000000004</v>
      </c>
      <c r="I728" s="175">
        <f t="shared" si="52"/>
        <v>3538.398088633247</v>
      </c>
      <c r="J728" s="175">
        <f t="shared" si="50"/>
        <v>683.56982708410794</v>
      </c>
      <c r="K728" s="176">
        <f t="shared" si="51"/>
        <v>9.7151158879622123E-3</v>
      </c>
    </row>
    <row r="729" spans="1:11" x14ac:dyDescent="0.2">
      <c r="A729" s="500"/>
      <c r="B729" s="500"/>
      <c r="C729" s="500"/>
      <c r="D729" s="500"/>
      <c r="E729" s="535"/>
      <c r="F729" s="173" t="s">
        <v>296</v>
      </c>
      <c r="G729" s="178">
        <v>96.432400000000001</v>
      </c>
      <c r="H729" s="171">
        <v>81.96754</v>
      </c>
      <c r="I729" s="175">
        <f t="shared" si="52"/>
        <v>3739.3612660518756</v>
      </c>
      <c r="J729" s="175">
        <f t="shared" si="50"/>
        <v>360.59558135242094</v>
      </c>
      <c r="K729" s="176">
        <f t="shared" si="51"/>
        <v>5.0860009258189686E-3</v>
      </c>
    </row>
    <row r="730" spans="1:11" x14ac:dyDescent="0.2">
      <c r="A730" s="500"/>
      <c r="B730" s="500"/>
      <c r="C730" s="500"/>
      <c r="D730" s="500"/>
      <c r="E730" s="535"/>
      <c r="F730" s="173" t="s">
        <v>297</v>
      </c>
      <c r="G730" s="178">
        <v>47.894758666666668</v>
      </c>
      <c r="H730" s="171">
        <v>68.788445333333328</v>
      </c>
      <c r="I730" s="175">
        <f t="shared" si="52"/>
        <v>2489.9129311264555</v>
      </c>
      <c r="J730" s="175">
        <f t="shared" si="50"/>
        <v>119.25377893731421</v>
      </c>
      <c r="K730" s="176">
        <f t="shared" si="51"/>
        <v>1.7790519677776246E-3</v>
      </c>
    </row>
    <row r="731" spans="1:11" x14ac:dyDescent="0.2">
      <c r="A731" s="500"/>
      <c r="B731" s="500"/>
      <c r="C731" s="500"/>
      <c r="D731" s="500"/>
      <c r="E731" s="535"/>
      <c r="F731" s="173" t="s">
        <v>298</v>
      </c>
      <c r="G731" s="178">
        <v>96.432400000000001</v>
      </c>
      <c r="H731" s="171">
        <v>59.788088000000002</v>
      </c>
      <c r="I731" s="175">
        <f t="shared" si="52"/>
        <v>1798.4328928440957</v>
      </c>
      <c r="J731" s="175">
        <f t="shared" si="50"/>
        <v>173.42720009589897</v>
      </c>
      <c r="K731" s="176">
        <f t="shared" si="51"/>
        <v>2.7059636759651372E-3</v>
      </c>
    </row>
    <row r="732" spans="1:11" x14ac:dyDescent="0.2">
      <c r="A732" s="500"/>
      <c r="B732" s="500"/>
      <c r="C732" s="500"/>
      <c r="D732" s="500"/>
      <c r="E732" s="535"/>
      <c r="F732" s="173" t="s">
        <v>299</v>
      </c>
      <c r="G732" s="178">
        <v>48.53764133333334</v>
      </c>
      <c r="H732" s="171">
        <v>54.966467999999999</v>
      </c>
      <c r="I732" s="175">
        <f t="shared" si="52"/>
        <v>1479.7051407164865</v>
      </c>
      <c r="J732" s="175">
        <f t="shared" si="50"/>
        <v>71.821397399186367</v>
      </c>
      <c r="K732" s="176">
        <f t="shared" si="51"/>
        <v>1.1511819922518387E-3</v>
      </c>
    </row>
    <row r="733" spans="1:11" x14ac:dyDescent="0.2">
      <c r="A733" s="500"/>
      <c r="B733" s="500"/>
      <c r="C733" s="500"/>
      <c r="D733" s="500"/>
      <c r="E733" s="535"/>
      <c r="F733" s="173" t="s">
        <v>300</v>
      </c>
      <c r="G733" s="178">
        <v>578.91584133333333</v>
      </c>
      <c r="H733" s="171">
        <v>60.109529333333334</v>
      </c>
      <c r="I733" s="175">
        <f t="shared" si="52"/>
        <v>1820.9446022943869</v>
      </c>
      <c r="J733" s="175">
        <f t="shared" si="50"/>
        <v>1054.1736764586469</v>
      </c>
      <c r="K733" s="176">
        <f t="shared" si="51"/>
        <v>1.6419946781561414E-2</v>
      </c>
    </row>
    <row r="734" spans="1:11" x14ac:dyDescent="0.2">
      <c r="A734" s="500"/>
      <c r="B734" s="500"/>
      <c r="C734" s="500"/>
      <c r="D734" s="500"/>
      <c r="E734" s="535"/>
      <c r="F734" s="173" t="s">
        <v>301</v>
      </c>
      <c r="G734" s="178">
        <v>96.110958666666676</v>
      </c>
      <c r="H734" s="171">
        <v>116.683204</v>
      </c>
      <c r="I734" s="175">
        <f t="shared" si="52"/>
        <v>8484.1351205473002</v>
      </c>
      <c r="J734" s="175">
        <f t="shared" si="50"/>
        <v>815.41835989333663</v>
      </c>
      <c r="K734" s="176">
        <f t="shared" si="51"/>
        <v>1.0272100450712683E-2</v>
      </c>
    </row>
    <row r="735" spans="1:11" x14ac:dyDescent="0.2">
      <c r="A735" s="500"/>
      <c r="B735" s="500"/>
      <c r="C735" s="500"/>
      <c r="D735" s="500"/>
      <c r="E735" s="535"/>
      <c r="F735" s="173" t="s">
        <v>302</v>
      </c>
      <c r="G735" s="178">
        <v>337.83484133333332</v>
      </c>
      <c r="H735" s="171">
        <v>122.14770666666666</v>
      </c>
      <c r="I735" s="175">
        <f t="shared" si="52"/>
        <v>9434.5708595994111</v>
      </c>
      <c r="J735" s="175">
        <f t="shared" si="50"/>
        <v>3187.3267494008574</v>
      </c>
      <c r="K735" s="176">
        <f t="shared" si="51"/>
        <v>3.9568057357752671E-2</v>
      </c>
    </row>
    <row r="736" spans="1:11" x14ac:dyDescent="0.2">
      <c r="A736" s="500"/>
      <c r="B736" s="500"/>
      <c r="C736" s="500"/>
      <c r="D736" s="500"/>
      <c r="E736" s="535"/>
      <c r="F736" s="173" t="s">
        <v>303</v>
      </c>
      <c r="G736" s="178">
        <v>433.62435866666669</v>
      </c>
      <c r="H736" s="171">
        <v>120.86194133333333</v>
      </c>
      <c r="I736" s="175">
        <f t="shared" si="52"/>
        <v>9205.7675962203612</v>
      </c>
      <c r="J736" s="175">
        <f t="shared" si="50"/>
        <v>3991.8450699454361</v>
      </c>
      <c r="K736" s="176">
        <f t="shared" si="51"/>
        <v>4.972358794477498E-2</v>
      </c>
    </row>
    <row r="737" spans="1:11" x14ac:dyDescent="0.2">
      <c r="A737" s="500"/>
      <c r="B737" s="500"/>
      <c r="C737" s="500"/>
      <c r="D737" s="500"/>
      <c r="E737" s="535"/>
      <c r="F737" s="173" t="s">
        <v>304</v>
      </c>
      <c r="G737" s="178">
        <v>47.894758666666668</v>
      </c>
      <c r="H737" s="171">
        <v>97.075282666666681</v>
      </c>
      <c r="I737" s="175">
        <f t="shared" si="52"/>
        <v>5536.5638680434122</v>
      </c>
      <c r="J737" s="175">
        <f t="shared" si="50"/>
        <v>265.1723903025258</v>
      </c>
      <c r="K737" s="176">
        <f t="shared" si="51"/>
        <v>3.5430311745390541E-3</v>
      </c>
    </row>
    <row r="738" spans="1:11" ht="15" customHeight="1" x14ac:dyDescent="0.2">
      <c r="A738" s="500">
        <v>2</v>
      </c>
      <c r="B738" s="500"/>
      <c r="C738" s="500"/>
      <c r="D738" s="500" t="s">
        <v>35</v>
      </c>
      <c r="E738" s="535">
        <f>Assumptions!D62</f>
        <v>6772.8780000000015</v>
      </c>
      <c r="F738" s="179" t="s">
        <v>173</v>
      </c>
      <c r="G738" s="177">
        <v>80.038892000000004</v>
      </c>
      <c r="H738" s="171">
        <v>112.50446666666667</v>
      </c>
      <c r="I738" s="175">
        <f t="shared" si="52"/>
        <v>7795.8247818154387</v>
      </c>
      <c r="J738" s="175">
        <f t="shared" si="50"/>
        <v>623.96917776264945</v>
      </c>
      <c r="K738" s="176">
        <f t="shared" si="51"/>
        <v>7.9526204403328523E-3</v>
      </c>
    </row>
    <row r="739" spans="1:11" x14ac:dyDescent="0.2">
      <c r="A739" s="500"/>
      <c r="B739" s="501"/>
      <c r="C739" s="501"/>
      <c r="D739" s="501"/>
      <c r="E739" s="535"/>
      <c r="F739" s="179" t="s">
        <v>170</v>
      </c>
      <c r="G739" s="177">
        <v>161.04210800000001</v>
      </c>
      <c r="H739" s="171">
        <v>77.145920000000004</v>
      </c>
      <c r="I739" s="175">
        <f t="shared" si="52"/>
        <v>3248.7349998259165</v>
      </c>
      <c r="J739" s="175">
        <f t="shared" si="50"/>
        <v>523.18313270534532</v>
      </c>
      <c r="K739" s="176">
        <f t="shared" si="51"/>
        <v>7.5237616463879782E-3</v>
      </c>
    </row>
    <row r="740" spans="1:11" x14ac:dyDescent="0.2">
      <c r="A740" s="500"/>
      <c r="B740" s="501"/>
      <c r="C740" s="501"/>
      <c r="D740" s="501"/>
      <c r="E740" s="535"/>
      <c r="F740" s="179" t="s">
        <v>171</v>
      </c>
      <c r="G740" s="177">
        <v>723.24300000000005</v>
      </c>
      <c r="H740" s="171">
        <v>106.07563999999999</v>
      </c>
      <c r="I740" s="175">
        <f t="shared" si="52"/>
        <v>6801.0590720448145</v>
      </c>
      <c r="J740" s="175">
        <f t="shared" si="50"/>
        <v>4918.8183664429089</v>
      </c>
      <c r="K740" s="176">
        <f t="shared" si="51"/>
        <v>6.3882987407345507E-2</v>
      </c>
    </row>
    <row r="741" spans="1:11" x14ac:dyDescent="0.2">
      <c r="A741" s="500"/>
      <c r="B741" s="501"/>
      <c r="C741" s="501"/>
      <c r="D741" s="501"/>
      <c r="E741" s="535"/>
      <c r="F741" s="179" t="s">
        <v>172</v>
      </c>
      <c r="G741" s="177">
        <v>409.83770000000004</v>
      </c>
      <c r="H741" s="171">
        <v>122.14770666666666</v>
      </c>
      <c r="I741" s="175">
        <f t="shared" si="52"/>
        <v>9434.5708595994111</v>
      </c>
      <c r="J741" s="175">
        <f t="shared" si="50"/>
        <v>3866.6428215852461</v>
      </c>
      <c r="K741" s="176">
        <f t="shared" si="51"/>
        <v>4.8001211352173799E-2</v>
      </c>
    </row>
    <row r="742" spans="1:11" ht="15" customHeight="1" x14ac:dyDescent="0.2">
      <c r="A742" s="500">
        <v>3</v>
      </c>
      <c r="B742" s="501"/>
      <c r="C742" s="501"/>
      <c r="D742" s="501" t="s">
        <v>35</v>
      </c>
      <c r="E742" s="535">
        <f>Assumptions!D63</f>
        <v>4319.8270000000002</v>
      </c>
      <c r="F742" s="179" t="s">
        <v>174</v>
      </c>
      <c r="G742" s="177">
        <v>96.432400000000001</v>
      </c>
      <c r="H742" s="171">
        <v>236.25937999999999</v>
      </c>
      <c r="I742" s="175">
        <f t="shared" si="52"/>
        <v>43592.405341592428</v>
      </c>
      <c r="J742" s="175">
        <f t="shared" si="50"/>
        <v>4203.7202688625785</v>
      </c>
      <c r="K742" s="176">
        <f t="shared" si="51"/>
        <v>4.2254284508274544E-2</v>
      </c>
    </row>
    <row r="743" spans="1:11" x14ac:dyDescent="0.2">
      <c r="A743" s="500"/>
      <c r="B743" s="501"/>
      <c r="C743" s="501"/>
      <c r="D743" s="501"/>
      <c r="E743" s="535"/>
      <c r="F743" s="179" t="s">
        <v>175</v>
      </c>
      <c r="G743" s="177">
        <v>48.216200000000001</v>
      </c>
      <c r="H743" s="171">
        <v>57.859439999999999</v>
      </c>
      <c r="I743" s="175">
        <f t="shared" si="52"/>
        <v>1666.6960967510881</v>
      </c>
      <c r="J743" s="175">
        <f t="shared" si="50"/>
        <v>80.361752340169815</v>
      </c>
      <c r="K743" s="176">
        <f t="shared" si="51"/>
        <v>1.2671005766746219E-3</v>
      </c>
    </row>
    <row r="744" spans="1:11" x14ac:dyDescent="0.2">
      <c r="A744" s="500"/>
      <c r="B744" s="501"/>
      <c r="C744" s="501"/>
      <c r="D744" s="501"/>
      <c r="E744" s="535"/>
      <c r="F744" s="179" t="s">
        <v>176</v>
      </c>
      <c r="G744" s="177">
        <v>48.216200000000001</v>
      </c>
      <c r="H744" s="171">
        <v>289.29720000000003</v>
      </c>
      <c r="I744" s="175">
        <f t="shared" si="52"/>
        <v>69737.572899171864</v>
      </c>
      <c r="J744" s="175">
        <f t="shared" si="50"/>
        <v>3362.4807624210507</v>
      </c>
      <c r="K744" s="176">
        <f t="shared" si="51"/>
        <v>3.1677514416865553E-2</v>
      </c>
    </row>
    <row r="745" spans="1:11" x14ac:dyDescent="0.2">
      <c r="A745" s="500"/>
      <c r="B745" s="501"/>
      <c r="C745" s="501"/>
      <c r="D745" s="501"/>
      <c r="E745" s="535"/>
      <c r="F745" s="179" t="s">
        <v>177</v>
      </c>
      <c r="G745" s="177">
        <v>48.216200000000001</v>
      </c>
      <c r="H745" s="171">
        <v>183.22156000000001</v>
      </c>
      <c r="I745" s="175">
        <f t="shared" si="52"/>
        <v>24168.732316803384</v>
      </c>
      <c r="J745" s="175">
        <f t="shared" si="50"/>
        <v>1165.3244311334554</v>
      </c>
      <c r="K745" s="176">
        <f t="shared" si="51"/>
        <v>1.2706203004987185E-2</v>
      </c>
    </row>
    <row r="746" spans="1:11" ht="15" customHeight="1" x14ac:dyDescent="0.2">
      <c r="A746" s="500">
        <v>4</v>
      </c>
      <c r="B746" s="501"/>
      <c r="C746" s="501"/>
      <c r="D746" s="501" t="s">
        <v>34</v>
      </c>
      <c r="E746" s="535">
        <f>Assumptions!D64</f>
        <v>1612.0500000000002</v>
      </c>
      <c r="F746" s="173" t="s">
        <v>305</v>
      </c>
      <c r="G746" s="177">
        <v>771.45920000000001</v>
      </c>
      <c r="H746" s="171">
        <v>67.502679999999998</v>
      </c>
      <c r="I746" s="175">
        <f t="shared" si="52"/>
        <v>2383.2684856750739</v>
      </c>
      <c r="J746" s="175">
        <f t="shared" si="50"/>
        <v>1838.594399344104</v>
      </c>
      <c r="K746" s="176">
        <f t="shared" si="51"/>
        <v>2.7594634780913986E-2</v>
      </c>
    </row>
    <row r="747" spans="1:11" x14ac:dyDescent="0.2">
      <c r="A747" s="500"/>
      <c r="B747" s="501"/>
      <c r="C747" s="501"/>
      <c r="D747" s="501"/>
      <c r="E747" s="535"/>
      <c r="F747" s="173" t="s">
        <v>306</v>
      </c>
      <c r="G747" s="177">
        <v>241.08099999999999</v>
      </c>
      <c r="H747" s="171">
        <v>53.037819999999996</v>
      </c>
      <c r="I747" s="175">
        <f t="shared" si="52"/>
        <v>1362.0308895806822</v>
      </c>
      <c r="J747" s="175">
        <f t="shared" si="50"/>
        <v>328.35976889100044</v>
      </c>
      <c r="K747" s="176">
        <f t="shared" si="51"/>
        <v>5.3235822839454586E-3</v>
      </c>
    </row>
    <row r="748" spans="1:11" x14ac:dyDescent="0.2">
      <c r="A748" s="500"/>
      <c r="B748" s="501"/>
      <c r="C748" s="501"/>
      <c r="D748" s="501"/>
      <c r="E748" s="535"/>
      <c r="F748" s="173" t="s">
        <v>307</v>
      </c>
      <c r="G748" s="177">
        <v>2459.0261999999998</v>
      </c>
      <c r="H748" s="171">
        <v>54.002143999999994</v>
      </c>
      <c r="I748" s="175">
        <f t="shared" si="52"/>
        <v>1420.1745971739217</v>
      </c>
      <c r="J748" s="175">
        <f t="shared" si="50"/>
        <v>3492.2465430251191</v>
      </c>
      <c r="K748" s="176">
        <f t="shared" si="51"/>
        <v>5.6293054953064525E-2</v>
      </c>
    </row>
    <row r="749" spans="1:11" ht="26" x14ac:dyDescent="0.2">
      <c r="A749" s="162">
        <v>5</v>
      </c>
      <c r="B749" s="170"/>
      <c r="C749" s="6"/>
      <c r="D749" s="6" t="s">
        <v>34</v>
      </c>
      <c r="E749" s="171">
        <f>Assumptions!D65</f>
        <v>353.58800000000002</v>
      </c>
      <c r="F749" s="173" t="s">
        <v>323</v>
      </c>
      <c r="G749" s="177">
        <v>0</v>
      </c>
      <c r="H749" s="171">
        <v>0</v>
      </c>
      <c r="I749" s="175">
        <v>0</v>
      </c>
      <c r="J749" s="175">
        <f t="shared" si="50"/>
        <v>0</v>
      </c>
      <c r="K749" s="176">
        <f t="shared" si="51"/>
        <v>0</v>
      </c>
    </row>
    <row r="750" spans="1:11" ht="15" customHeight="1" x14ac:dyDescent="0.2">
      <c r="A750" s="500">
        <v>6</v>
      </c>
      <c r="B750" s="501"/>
      <c r="C750" s="501"/>
      <c r="D750" s="501" t="s">
        <v>35</v>
      </c>
      <c r="E750" s="535">
        <f>Assumptions!D66</f>
        <v>4915.7929999999997</v>
      </c>
      <c r="F750" s="179" t="s">
        <v>178</v>
      </c>
      <c r="G750" s="177">
        <v>867.89159999999993</v>
      </c>
      <c r="H750" s="171">
        <v>85.087411764705877</v>
      </c>
      <c r="I750" s="175">
        <f t="shared" si="52"/>
        <v>4077.8921994633888</v>
      </c>
      <c r="J750" s="175">
        <f t="shared" si="50"/>
        <v>3539.1683856197992</v>
      </c>
      <c r="K750" s="176">
        <f t="shared" si="51"/>
        <v>4.9324849438025932E-2</v>
      </c>
    </row>
    <row r="751" spans="1:11" x14ac:dyDescent="0.2">
      <c r="A751" s="500"/>
      <c r="B751" s="501"/>
      <c r="C751" s="501"/>
      <c r="D751" s="501"/>
      <c r="E751" s="535"/>
      <c r="F751" s="179" t="s">
        <v>179</v>
      </c>
      <c r="G751" s="177">
        <v>578.59440000000006</v>
      </c>
      <c r="H751" s="171">
        <v>72.324300000000008</v>
      </c>
      <c r="I751" s="175">
        <f t="shared" si="52"/>
        <v>2796.968971624317</v>
      </c>
      <c r="J751" s="175">
        <f t="shared" si="50"/>
        <v>1618.310583955589</v>
      </c>
      <c r="K751" s="176">
        <f t="shared" si="51"/>
        <v>2.375813581264917E-2</v>
      </c>
    </row>
    <row r="752" spans="1:11" x14ac:dyDescent="0.2">
      <c r="A752" s="500"/>
      <c r="B752" s="501"/>
      <c r="C752" s="501"/>
      <c r="D752" s="501"/>
      <c r="E752" s="535"/>
      <c r="F752" s="179" t="s">
        <v>175</v>
      </c>
      <c r="G752" s="177">
        <v>1446.4860000000001</v>
      </c>
      <c r="H752" s="171">
        <v>38.572960000000002</v>
      </c>
      <c r="I752" s="175">
        <f t="shared" si="52"/>
        <v>650.61593715791707</v>
      </c>
      <c r="J752" s="175">
        <f t="shared" si="50"/>
        <v>941.10684447580695</v>
      </c>
      <c r="K752" s="176">
        <f t="shared" si="51"/>
        <v>1.6894674355661627E-2</v>
      </c>
    </row>
    <row r="753" spans="1:11" x14ac:dyDescent="0.2">
      <c r="A753" s="500"/>
      <c r="B753" s="501"/>
      <c r="C753" s="501"/>
      <c r="D753" s="501"/>
      <c r="E753" s="535"/>
      <c r="F753" s="179" t="s">
        <v>180</v>
      </c>
      <c r="G753" s="177">
        <v>96.432400000000001</v>
      </c>
      <c r="H753" s="171">
        <v>96.432400000000001</v>
      </c>
      <c r="I753" s="175">
        <f t="shared" si="52"/>
        <v>5451.8703255234514</v>
      </c>
      <c r="J753" s="175">
        <f t="shared" si="50"/>
        <v>525.73693997900773</v>
      </c>
      <c r="K753" s="176">
        <f t="shared" si="51"/>
        <v>7.0394476481923434E-3</v>
      </c>
    </row>
    <row r="754" spans="1:11" x14ac:dyDescent="0.2">
      <c r="A754" s="500"/>
      <c r="B754" s="501"/>
      <c r="C754" s="501"/>
      <c r="D754" s="501"/>
      <c r="E754" s="535"/>
      <c r="F754" s="179" t="s">
        <v>181</v>
      </c>
      <c r="G754" s="177">
        <v>96.432400000000001</v>
      </c>
      <c r="H754" s="171">
        <v>154.29184000000001</v>
      </c>
      <c r="I754" s="175">
        <f t="shared" si="52"/>
        <v>16221.980582274256</v>
      </c>
      <c r="J754" s="175">
        <f t="shared" si="50"/>
        <v>1564.324520302104</v>
      </c>
      <c r="K754" s="176">
        <f t="shared" si="51"/>
        <v>1.8020985979372402E-2</v>
      </c>
    </row>
    <row r="755" spans="1:11" ht="26" x14ac:dyDescent="0.2">
      <c r="A755" s="162">
        <v>7</v>
      </c>
      <c r="B755" s="170"/>
      <c r="C755" s="6"/>
      <c r="D755" s="6" t="s">
        <v>34</v>
      </c>
      <c r="E755" s="171">
        <f>Assumptions!D67</f>
        <v>2549.9479999999994</v>
      </c>
      <c r="F755" s="173" t="s">
        <v>323</v>
      </c>
      <c r="G755" s="177">
        <v>0</v>
      </c>
      <c r="H755" s="171">
        <v>0</v>
      </c>
      <c r="I755" s="175">
        <v>0</v>
      </c>
      <c r="J755" s="175">
        <f t="shared" si="50"/>
        <v>0</v>
      </c>
      <c r="K755" s="176">
        <f t="shared" si="51"/>
        <v>0</v>
      </c>
    </row>
    <row r="756" spans="1:11" x14ac:dyDescent="0.2">
      <c r="A756" s="162">
        <v>8</v>
      </c>
      <c r="B756" s="170"/>
      <c r="C756" s="6"/>
      <c r="D756" s="6" t="s">
        <v>36</v>
      </c>
      <c r="E756" s="171">
        <f>Assumptions!D68</f>
        <v>741.26900000000001</v>
      </c>
      <c r="F756" s="173" t="s">
        <v>323</v>
      </c>
      <c r="G756" s="177">
        <v>0</v>
      </c>
      <c r="H756" s="171">
        <v>0</v>
      </c>
      <c r="I756" s="175">
        <v>0</v>
      </c>
      <c r="J756" s="175">
        <f t="shared" si="50"/>
        <v>0</v>
      </c>
      <c r="K756" s="176">
        <f t="shared" si="51"/>
        <v>0</v>
      </c>
    </row>
    <row r="757" spans="1:11" ht="15" customHeight="1" x14ac:dyDescent="0.2">
      <c r="A757" s="500">
        <v>9</v>
      </c>
      <c r="B757" s="501"/>
      <c r="C757" s="501"/>
      <c r="D757" s="501" t="s">
        <v>35</v>
      </c>
      <c r="E757" s="535">
        <f>Assumptions!D69</f>
        <v>8643.7000000000025</v>
      </c>
      <c r="F757" s="179" t="s">
        <v>173</v>
      </c>
      <c r="G757" s="177">
        <v>337.51339999999999</v>
      </c>
      <c r="H757" s="171">
        <v>66.125074285714277</v>
      </c>
      <c r="I757" s="175">
        <f t="shared" si="52"/>
        <v>2271.9445904370114</v>
      </c>
      <c r="J757" s="175">
        <f t="shared" si="50"/>
        <v>766.81174333000308</v>
      </c>
      <c r="K757" s="176">
        <f t="shared" si="51"/>
        <v>1.1584919558167969E-2</v>
      </c>
    </row>
    <row r="758" spans="1:11" x14ac:dyDescent="0.2">
      <c r="A758" s="500"/>
      <c r="B758" s="501"/>
      <c r="C758" s="501"/>
      <c r="D758" s="501"/>
      <c r="E758" s="535"/>
      <c r="F758" s="179" t="s">
        <v>182</v>
      </c>
      <c r="G758" s="177">
        <v>337.51339999999999</v>
      </c>
      <c r="H758" s="171">
        <v>241.08099999999999</v>
      </c>
      <c r="I758" s="175">
        <f t="shared" si="52"/>
        <v>45684.232968779645</v>
      </c>
      <c r="J758" s="175">
        <f t="shared" si="50"/>
        <v>15419.040795684912</v>
      </c>
      <c r="K758" s="176">
        <f t="shared" si="51"/>
        <v>0.15398791730420749</v>
      </c>
    </row>
    <row r="759" spans="1:11" x14ac:dyDescent="0.2">
      <c r="A759" s="500"/>
      <c r="B759" s="501"/>
      <c r="C759" s="501"/>
      <c r="D759" s="501"/>
      <c r="E759" s="535"/>
      <c r="F759" s="179" t="s">
        <v>172</v>
      </c>
      <c r="G759" s="177">
        <v>337.51339999999999</v>
      </c>
      <c r="H759" s="171">
        <v>187.35437714285715</v>
      </c>
      <c r="I759" s="175">
        <f t="shared" si="52"/>
        <v>25452.376101394071</v>
      </c>
      <c r="J759" s="175">
        <f t="shared" si="50"/>
        <v>8590.5179960602582</v>
      </c>
      <c r="K759" s="176">
        <f t="shared" si="51"/>
        <v>9.3001159786404011E-2</v>
      </c>
    </row>
    <row r="760" spans="1:11" x14ac:dyDescent="0.2">
      <c r="A760" s="500"/>
      <c r="B760" s="501"/>
      <c r="C760" s="501"/>
      <c r="D760" s="501"/>
      <c r="E760" s="535"/>
      <c r="F760" s="179" t="s">
        <v>183</v>
      </c>
      <c r="G760" s="177">
        <v>192.8648</v>
      </c>
      <c r="H760" s="171">
        <v>62.681059999999995</v>
      </c>
      <c r="I760" s="175">
        <f t="shared" si="52"/>
        <v>2006.8019061305549</v>
      </c>
      <c r="J760" s="175">
        <f t="shared" si="50"/>
        <v>387.04144826548827</v>
      </c>
      <c r="K760" s="176">
        <f t="shared" si="51"/>
        <v>5.9483332627225296E-3</v>
      </c>
    </row>
    <row r="761" spans="1:11" x14ac:dyDescent="0.2">
      <c r="A761" s="500"/>
      <c r="B761" s="501"/>
      <c r="C761" s="501"/>
      <c r="D761" s="501"/>
      <c r="E761" s="535"/>
      <c r="F761" s="179" t="s">
        <v>184</v>
      </c>
      <c r="G761" s="177">
        <v>96.432400000000001</v>
      </c>
      <c r="H761" s="171">
        <v>202.50803999999999</v>
      </c>
      <c r="I761" s="175">
        <f t="shared" si="52"/>
        <v>30485.567307051955</v>
      </c>
      <c r="J761" s="175">
        <f t="shared" si="50"/>
        <v>2939.7964207805571</v>
      </c>
      <c r="K761" s="176">
        <f t="shared" si="51"/>
        <v>3.1043964128528237E-2</v>
      </c>
    </row>
    <row r="762" spans="1:11" x14ac:dyDescent="0.2">
      <c r="A762" s="500"/>
      <c r="B762" s="501"/>
      <c r="C762" s="501"/>
      <c r="D762" s="501"/>
      <c r="E762" s="535"/>
      <c r="F762" s="179" t="s">
        <v>185</v>
      </c>
      <c r="G762" s="177">
        <v>48.216200000000001</v>
      </c>
      <c r="H762" s="171">
        <v>57.859439999999999</v>
      </c>
      <c r="I762" s="175">
        <f t="shared" si="52"/>
        <v>1666.6960967510881</v>
      </c>
      <c r="J762" s="175">
        <f t="shared" si="50"/>
        <v>80.361752340169815</v>
      </c>
      <c r="K762" s="176">
        <f t="shared" si="51"/>
        <v>1.2671005766746219E-3</v>
      </c>
    </row>
    <row r="763" spans="1:11" x14ac:dyDescent="0.2">
      <c r="A763" s="500"/>
      <c r="B763" s="501"/>
      <c r="C763" s="501"/>
      <c r="D763" s="501"/>
      <c r="E763" s="535"/>
      <c r="F763" s="179" t="s">
        <v>186</v>
      </c>
      <c r="G763" s="177">
        <v>144.64860000000002</v>
      </c>
      <c r="H763" s="171">
        <v>138.21977333333334</v>
      </c>
      <c r="I763" s="175">
        <f t="shared" si="52"/>
        <v>12568.140395365666</v>
      </c>
      <c r="J763" s="175">
        <f t="shared" si="50"/>
        <v>1817.9639127930902</v>
      </c>
      <c r="K763" s="176">
        <f t="shared" si="51"/>
        <v>2.1693231169179407E-2</v>
      </c>
    </row>
    <row r="764" spans="1:11" x14ac:dyDescent="0.2">
      <c r="A764" s="500"/>
      <c r="B764" s="501"/>
      <c r="C764" s="501"/>
      <c r="D764" s="501"/>
      <c r="E764" s="535"/>
      <c r="F764" s="179" t="s">
        <v>171</v>
      </c>
      <c r="G764" s="177">
        <v>192.8648</v>
      </c>
      <c r="H764" s="171">
        <v>342.33501999999999</v>
      </c>
      <c r="I764" s="175">
        <f t="shared" si="52"/>
        <v>103056.47808653906</v>
      </c>
      <c r="J764" s="175">
        <f t="shared" si="50"/>
        <v>19875.967034864738</v>
      </c>
      <c r="K764" s="176">
        <f t="shared" si="51"/>
        <v>0.17742927797268801</v>
      </c>
    </row>
    <row r="765" spans="1:11" x14ac:dyDescent="0.2">
      <c r="A765" s="500"/>
      <c r="B765" s="501"/>
      <c r="C765" s="501"/>
      <c r="D765" s="501"/>
      <c r="E765" s="535"/>
      <c r="F765" s="179" t="s">
        <v>187</v>
      </c>
      <c r="G765" s="177">
        <v>48.216200000000001</v>
      </c>
      <c r="H765" s="171">
        <v>289.29720000000003</v>
      </c>
      <c r="I765" s="175">
        <f t="shared" si="52"/>
        <v>69737.572899171864</v>
      </c>
      <c r="J765" s="175">
        <f t="shared" si="50"/>
        <v>3362.4807624210507</v>
      </c>
      <c r="K765" s="176">
        <f t="shared" si="51"/>
        <v>3.1677514416865553E-2</v>
      </c>
    </row>
    <row r="766" spans="1:11" x14ac:dyDescent="0.2">
      <c r="A766" s="500"/>
      <c r="B766" s="501"/>
      <c r="C766" s="501"/>
      <c r="D766" s="501"/>
      <c r="E766" s="535"/>
      <c r="F766" s="179" t="s">
        <v>188</v>
      </c>
      <c r="G766" s="177">
        <v>192.8648</v>
      </c>
      <c r="H766" s="171">
        <v>236.25937999999999</v>
      </c>
      <c r="I766" s="175">
        <f t="shared" si="52"/>
        <v>43592.405341592428</v>
      </c>
      <c r="J766" s="175">
        <f t="shared" si="50"/>
        <v>8407.4405377251569</v>
      </c>
      <c r="K766" s="176">
        <f t="shared" si="51"/>
        <v>8.4508569016549087E-2</v>
      </c>
    </row>
    <row r="767" spans="1:11" ht="15" customHeight="1" x14ac:dyDescent="0.2">
      <c r="A767" s="500">
        <v>10</v>
      </c>
      <c r="B767" s="501"/>
      <c r="C767" s="501"/>
      <c r="D767" s="501" t="s">
        <v>35</v>
      </c>
      <c r="E767" s="535">
        <f>Assumptions!D70</f>
        <v>2860.4270000000001</v>
      </c>
      <c r="F767" s="179" t="s">
        <v>189</v>
      </c>
      <c r="G767" s="177">
        <v>96.432400000000001</v>
      </c>
      <c r="H767" s="171">
        <v>77.145920000000004</v>
      </c>
      <c r="I767" s="175">
        <f t="shared" si="52"/>
        <v>3248.7349998259165</v>
      </c>
      <c r="J767" s="175">
        <f t="shared" si="50"/>
        <v>313.2833129972127</v>
      </c>
      <c r="K767" s="176">
        <f t="shared" si="51"/>
        <v>4.5052464948431006E-3</v>
      </c>
    </row>
    <row r="768" spans="1:11" x14ac:dyDescent="0.2">
      <c r="A768" s="500"/>
      <c r="B768" s="501"/>
      <c r="C768" s="501"/>
      <c r="D768" s="501"/>
      <c r="E768" s="535"/>
      <c r="F768" s="179" t="s">
        <v>190</v>
      </c>
      <c r="G768" s="177">
        <v>771.45920000000001</v>
      </c>
      <c r="H768" s="171">
        <v>67.502679999999998</v>
      </c>
      <c r="I768" s="175">
        <f t="shared" si="52"/>
        <v>2383.2684856750739</v>
      </c>
      <c r="J768" s="175">
        <f t="shared" si="50"/>
        <v>1838.594399344104</v>
      </c>
      <c r="K768" s="176">
        <f t="shared" si="51"/>
        <v>2.7594634780913986E-2</v>
      </c>
    </row>
    <row r="769" spans="1:11" x14ac:dyDescent="0.2">
      <c r="A769" s="500"/>
      <c r="B769" s="501"/>
      <c r="C769" s="501"/>
      <c r="D769" s="501"/>
      <c r="E769" s="535"/>
      <c r="F769" s="179" t="s">
        <v>191</v>
      </c>
      <c r="G769" s="177">
        <v>96.432400000000001</v>
      </c>
      <c r="H769" s="171">
        <v>57.859439999999999</v>
      </c>
      <c r="I769" s="175">
        <f t="shared" si="52"/>
        <v>1666.6960967510881</v>
      </c>
      <c r="J769" s="175">
        <f t="shared" si="50"/>
        <v>160.72350468033963</v>
      </c>
      <c r="K769" s="176">
        <f t="shared" si="51"/>
        <v>2.5342011533492437E-3</v>
      </c>
    </row>
    <row r="770" spans="1:11" x14ac:dyDescent="0.2">
      <c r="A770" s="500"/>
      <c r="B770" s="501"/>
      <c r="C770" s="501"/>
      <c r="D770" s="501"/>
      <c r="E770" s="535"/>
      <c r="F770" s="179" t="s">
        <v>171</v>
      </c>
      <c r="G770" s="177">
        <v>385.7296</v>
      </c>
      <c r="H770" s="171">
        <v>101.25402</v>
      </c>
      <c r="I770" s="175">
        <f t="shared" si="52"/>
        <v>6105.2674177275749</v>
      </c>
      <c r="J770" s="175">
        <f t="shared" si="50"/>
        <v>2354.9823589330904</v>
      </c>
      <c r="K770" s="176">
        <f t="shared" si="51"/>
        <v>3.1043964128528237E-2</v>
      </c>
    </row>
    <row r="771" spans="1:11" x14ac:dyDescent="0.2">
      <c r="A771" s="500"/>
      <c r="B771" s="501"/>
      <c r="C771" s="501"/>
      <c r="D771" s="501"/>
      <c r="E771" s="535"/>
      <c r="F771" s="179" t="s">
        <v>188</v>
      </c>
      <c r="G771" s="177">
        <v>96.432400000000001</v>
      </c>
      <c r="H771" s="171">
        <v>173.57831999999999</v>
      </c>
      <c r="I771" s="175">
        <f t="shared" si="52"/>
        <v>21319.535060068451</v>
      </c>
      <c r="J771" s="175">
        <f t="shared" si="50"/>
        <v>2055.8939327265448</v>
      </c>
      <c r="K771" s="176">
        <f t="shared" si="51"/>
        <v>2.2807810380143193E-2</v>
      </c>
    </row>
    <row r="772" spans="1:11" ht="15" customHeight="1" x14ac:dyDescent="0.2">
      <c r="A772" s="500">
        <v>11</v>
      </c>
      <c r="B772" s="501"/>
      <c r="C772" s="501"/>
      <c r="D772" s="501" t="s">
        <v>35</v>
      </c>
      <c r="E772" s="535">
        <f>Assumptions!D71</f>
        <v>9034.3230000000021</v>
      </c>
      <c r="F772" s="170" t="s">
        <v>192</v>
      </c>
      <c r="G772" s="177">
        <v>723.24300000000005</v>
      </c>
      <c r="H772" s="171">
        <v>81.163936666666686</v>
      </c>
      <c r="I772" s="175">
        <f t="shared" si="52"/>
        <v>3654.8588883403213</v>
      </c>
      <c r="J772" s="175">
        <f t="shared" si="50"/>
        <v>2643.3511069799192</v>
      </c>
      <c r="K772" s="176">
        <f t="shared" si="51"/>
        <v>3.740073201000528E-2</v>
      </c>
    </row>
    <row r="773" spans="1:11" x14ac:dyDescent="0.2">
      <c r="A773" s="500"/>
      <c r="B773" s="501"/>
      <c r="C773" s="501"/>
      <c r="D773" s="501"/>
      <c r="E773" s="535"/>
      <c r="F773" s="170" t="s">
        <v>193</v>
      </c>
      <c r="G773" s="177">
        <v>361.62150000000003</v>
      </c>
      <c r="H773" s="171">
        <v>45.001786666666668</v>
      </c>
      <c r="I773" s="175">
        <f t="shared" si="52"/>
        <v>930.33904760982557</v>
      </c>
      <c r="J773" s="175">
        <f t="shared" si="50"/>
        <v>336.43060190523653</v>
      </c>
      <c r="K773" s="176">
        <f t="shared" si="51"/>
        <v>5.7488822460237485E-3</v>
      </c>
    </row>
    <row r="774" spans="1:11" x14ac:dyDescent="0.2">
      <c r="A774" s="500"/>
      <c r="B774" s="501"/>
      <c r="C774" s="501"/>
      <c r="D774" s="501"/>
      <c r="E774" s="535"/>
      <c r="F774" s="170" t="s">
        <v>190</v>
      </c>
      <c r="G774" s="177">
        <v>361.62150000000003</v>
      </c>
      <c r="H774" s="171">
        <v>125.36211999999999</v>
      </c>
      <c r="I774" s="175">
        <f t="shared" si="52"/>
        <v>10020.608500067026</v>
      </c>
      <c r="J774" s="175">
        <f t="shared" si="50"/>
        <v>3623.6674767069885</v>
      </c>
      <c r="K774" s="176">
        <f t="shared" si="51"/>
        <v>4.4612499470418975E-2</v>
      </c>
    </row>
    <row r="775" spans="1:11" x14ac:dyDescent="0.2">
      <c r="A775" s="500"/>
      <c r="B775" s="501"/>
      <c r="C775" s="501"/>
      <c r="D775" s="501"/>
      <c r="E775" s="535"/>
      <c r="F775" s="170" t="s">
        <v>186</v>
      </c>
      <c r="G775" s="177">
        <v>361.62150000000003</v>
      </c>
      <c r="H775" s="171">
        <v>64.288266666666658</v>
      </c>
      <c r="I775" s="175">
        <f t="shared" si="52"/>
        <v>2128.2066526814542</v>
      </c>
      <c r="J775" s="175">
        <f t="shared" si="50"/>
        <v>769.60528205264654</v>
      </c>
      <c r="K775" s="176">
        <f t="shared" si="51"/>
        <v>1.1732412746987237E-2</v>
      </c>
    </row>
    <row r="776" spans="1:11" x14ac:dyDescent="0.2">
      <c r="A776" s="500"/>
      <c r="B776" s="501"/>
      <c r="C776" s="501"/>
      <c r="D776" s="501"/>
      <c r="E776" s="535"/>
      <c r="F776" s="170" t="s">
        <v>194</v>
      </c>
      <c r="G776" s="177">
        <v>1084.8644999999999</v>
      </c>
      <c r="H776" s="171">
        <v>153.22036888888891</v>
      </c>
      <c r="I776" s="175">
        <f t="shared" si="52"/>
        <v>15961.823435410763</v>
      </c>
      <c r="J776" s="175">
        <f t="shared" si="50"/>
        <v>17316.415600345179</v>
      </c>
      <c r="K776" s="176">
        <f t="shared" si="51"/>
        <v>0.19993009021928509</v>
      </c>
    </row>
    <row r="777" spans="1:11" x14ac:dyDescent="0.2">
      <c r="A777" s="500"/>
      <c r="B777" s="501"/>
      <c r="C777" s="501"/>
      <c r="D777" s="501"/>
      <c r="E777" s="535"/>
      <c r="F777" s="170" t="s">
        <v>195</v>
      </c>
      <c r="G777" s="177">
        <v>120.54049999999999</v>
      </c>
      <c r="H777" s="171">
        <v>48.216200000000001</v>
      </c>
      <c r="I777" s="175">
        <f t="shared" si="52"/>
        <v>1091.8322735753932</v>
      </c>
      <c r="J777" s="175">
        <f t="shared" si="50"/>
        <v>131.61000817291469</v>
      </c>
      <c r="K777" s="176">
        <f t="shared" si="51"/>
        <v>2.1998273900601072E-3</v>
      </c>
    </row>
    <row r="778" spans="1:11" x14ac:dyDescent="0.2">
      <c r="A778" s="500"/>
      <c r="B778" s="501"/>
      <c r="C778" s="501"/>
      <c r="D778" s="501"/>
      <c r="E778" s="535"/>
      <c r="F778" s="170" t="s">
        <v>196</v>
      </c>
      <c r="G778" s="177">
        <v>120.54049999999999</v>
      </c>
      <c r="H778" s="171">
        <v>144.64860000000002</v>
      </c>
      <c r="I778" s="175">
        <f t="shared" si="52"/>
        <v>13966.167246434241</v>
      </c>
      <c r="J778" s="175">
        <f t="shared" si="50"/>
        <v>1683.4887829688066</v>
      </c>
      <c r="K778" s="176">
        <f t="shared" si="51"/>
        <v>1.9798446510540971E-2</v>
      </c>
    </row>
    <row r="779" spans="1:11" x14ac:dyDescent="0.2">
      <c r="A779" s="500"/>
      <c r="B779" s="501"/>
      <c r="C779" s="501"/>
      <c r="D779" s="501"/>
      <c r="E779" s="535"/>
      <c r="F779" s="170" t="s">
        <v>197</v>
      </c>
      <c r="G779" s="177">
        <v>120.54049999999999</v>
      </c>
      <c r="H779" s="171">
        <v>96.432400000000001</v>
      </c>
      <c r="I779" s="175">
        <f t="shared" si="52"/>
        <v>5451.8703255234514</v>
      </c>
      <c r="J779" s="175">
        <f t="shared" si="50"/>
        <v>657.17117497375955</v>
      </c>
      <c r="K779" s="176">
        <f t="shared" si="51"/>
        <v>8.7993095602404287E-3</v>
      </c>
    </row>
    <row r="780" spans="1:11" x14ac:dyDescent="0.2">
      <c r="A780" s="500"/>
      <c r="B780" s="501"/>
      <c r="C780" s="501"/>
      <c r="D780" s="501"/>
      <c r="E780" s="535"/>
      <c r="F780" s="179" t="s">
        <v>182</v>
      </c>
      <c r="G780" s="177">
        <v>325.94151199999999</v>
      </c>
      <c r="H780" s="171">
        <v>270.01071999999999</v>
      </c>
      <c r="I780" s="175">
        <f t="shared" si="52"/>
        <v>59422.668411492414</v>
      </c>
      <c r="J780" s="175">
        <f t="shared" si="50"/>
        <v>19368.314389116473</v>
      </c>
      <c r="K780" s="176">
        <f t="shared" si="51"/>
        <v>0.18653973111897854</v>
      </c>
    </row>
    <row r="781" spans="1:11" x14ac:dyDescent="0.2">
      <c r="A781" s="500"/>
      <c r="B781" s="501"/>
      <c r="C781" s="501"/>
      <c r="D781" s="501"/>
      <c r="E781" s="535"/>
      <c r="F781" s="179" t="s">
        <v>187</v>
      </c>
      <c r="G781" s="177">
        <v>120.54049999999999</v>
      </c>
      <c r="H781" s="171">
        <v>578.59440000000006</v>
      </c>
      <c r="I781" s="175">
        <f t="shared" si="52"/>
        <v>348222.17062515754</v>
      </c>
      <c r="J781" s="175">
        <f t="shared" si="50"/>
        <v>41974.874558241798</v>
      </c>
      <c r="K781" s="176">
        <f t="shared" si="51"/>
        <v>0.31677514416865554</v>
      </c>
    </row>
    <row r="782" spans="1:11" x14ac:dyDescent="0.2">
      <c r="A782" s="500"/>
      <c r="B782" s="501"/>
      <c r="C782" s="501"/>
      <c r="D782" s="501"/>
      <c r="E782" s="535"/>
      <c r="F782" s="170" t="s">
        <v>198</v>
      </c>
      <c r="G782" s="177">
        <v>48.216200000000001</v>
      </c>
      <c r="H782" s="171">
        <v>192.8648</v>
      </c>
      <c r="I782" s="175">
        <f t="shared" si="52"/>
        <v>27222.945104004393</v>
      </c>
      <c r="J782" s="175">
        <f t="shared" si="50"/>
        <v>1312.5869657236967</v>
      </c>
      <c r="K782" s="176">
        <f t="shared" si="51"/>
        <v>1.4078895296384687E-2</v>
      </c>
    </row>
    <row r="783" spans="1:11" x14ac:dyDescent="0.2">
      <c r="A783" s="500"/>
      <c r="B783" s="501"/>
      <c r="C783" s="501"/>
      <c r="D783" s="501"/>
      <c r="E783" s="535"/>
      <c r="F783" s="170" t="s">
        <v>173</v>
      </c>
      <c r="G783" s="177">
        <v>48.216200000000001</v>
      </c>
      <c r="H783" s="171">
        <v>57.859439999999999</v>
      </c>
      <c r="I783" s="175">
        <f t="shared" si="52"/>
        <v>1666.6960967510881</v>
      </c>
      <c r="J783" s="175">
        <f t="shared" si="50"/>
        <v>80.361752340169815</v>
      </c>
      <c r="K783" s="176">
        <f t="shared" si="51"/>
        <v>1.2671005766746219E-3</v>
      </c>
    </row>
    <row r="784" spans="1:11" x14ac:dyDescent="0.2">
      <c r="A784" s="500"/>
      <c r="B784" s="501"/>
      <c r="C784" s="501"/>
      <c r="D784" s="501"/>
      <c r="E784" s="535"/>
      <c r="F784" s="170" t="s">
        <v>199</v>
      </c>
      <c r="G784" s="177">
        <v>192.8648</v>
      </c>
      <c r="H784" s="171">
        <v>139.82697999999999</v>
      </c>
      <c r="I784" s="175">
        <f t="shared" si="52"/>
        <v>12909.793117134475</v>
      </c>
      <c r="J784" s="175">
        <f t="shared" si="50"/>
        <v>2489.8446675775172</v>
      </c>
      <c r="K784" s="176">
        <f t="shared" si="51"/>
        <v>2.96008773606488E-2</v>
      </c>
    </row>
    <row r="785" spans="1:11" x14ac:dyDescent="0.2">
      <c r="A785" s="500"/>
      <c r="B785" s="501"/>
      <c r="C785" s="501"/>
      <c r="D785" s="501"/>
      <c r="E785" s="535"/>
      <c r="F785" s="170" t="s">
        <v>172</v>
      </c>
      <c r="G785" s="177">
        <v>85</v>
      </c>
      <c r="H785" s="171">
        <v>650.91869999999994</v>
      </c>
      <c r="I785" s="175">
        <f t="shared" si="52"/>
        <v>457646.63184520742</v>
      </c>
      <c r="J785" s="175">
        <f t="shared" si="50"/>
        <v>38899.963706842631</v>
      </c>
      <c r="K785" s="176">
        <f t="shared" si="51"/>
        <v>0.28271059151296563</v>
      </c>
    </row>
    <row r="786" spans="1:11" x14ac:dyDescent="0.2">
      <c r="A786" s="162">
        <v>12</v>
      </c>
      <c r="B786" s="75"/>
      <c r="C786" s="75"/>
      <c r="D786" s="75" t="s">
        <v>37</v>
      </c>
      <c r="E786" s="481">
        <f>Assumptions!D72</f>
        <v>2315.3180000000002</v>
      </c>
      <c r="F786" s="170" t="s">
        <v>323</v>
      </c>
      <c r="G786" s="177">
        <v>0</v>
      </c>
      <c r="H786" s="171">
        <v>0</v>
      </c>
      <c r="I786" s="175">
        <v>0</v>
      </c>
      <c r="J786" s="175">
        <f t="shared" si="50"/>
        <v>0</v>
      </c>
      <c r="K786" s="176">
        <f t="shared" si="51"/>
        <v>0</v>
      </c>
    </row>
    <row r="787" spans="1:11" ht="15" customHeight="1" x14ac:dyDescent="0.2">
      <c r="A787" s="500">
        <v>13</v>
      </c>
      <c r="B787" s="501"/>
      <c r="C787" s="501"/>
      <c r="D787" s="501" t="s">
        <v>35</v>
      </c>
      <c r="E787" s="535">
        <f>Assumptions!D73</f>
        <v>5717.201</v>
      </c>
      <c r="F787" s="179" t="s">
        <v>188</v>
      </c>
      <c r="G787" s="177">
        <v>48.216200000000001</v>
      </c>
      <c r="H787" s="171">
        <v>183.22156000000001</v>
      </c>
      <c r="I787" s="175">
        <f t="shared" si="52"/>
        <v>24168.732316803384</v>
      </c>
      <c r="J787" s="175">
        <f t="shared" si="50"/>
        <v>1165.3244311334554</v>
      </c>
      <c r="K787" s="176">
        <f t="shared" si="51"/>
        <v>1.2706203004987185E-2</v>
      </c>
    </row>
    <row r="788" spans="1:11" x14ac:dyDescent="0.2">
      <c r="A788" s="500"/>
      <c r="B788" s="501"/>
      <c r="C788" s="501"/>
      <c r="D788" s="501"/>
      <c r="E788" s="535"/>
      <c r="F788" s="179" t="s">
        <v>182</v>
      </c>
      <c r="G788" s="177">
        <v>48.216200000000001</v>
      </c>
      <c r="H788" s="171">
        <v>192.8648</v>
      </c>
      <c r="I788" s="175">
        <f t="shared" si="52"/>
        <v>27222.945104004393</v>
      </c>
      <c r="J788" s="175">
        <f t="shared" si="50"/>
        <v>1312.5869657236967</v>
      </c>
      <c r="K788" s="176">
        <f t="shared" si="51"/>
        <v>1.4078895296384687E-2</v>
      </c>
    </row>
    <row r="789" spans="1:11" x14ac:dyDescent="0.2">
      <c r="A789" s="500"/>
      <c r="B789" s="501"/>
      <c r="C789" s="501"/>
      <c r="D789" s="501"/>
      <c r="E789" s="535"/>
      <c r="F789" s="179" t="s">
        <v>171</v>
      </c>
      <c r="G789" s="177">
        <v>144.64860000000002</v>
      </c>
      <c r="H789" s="171">
        <v>302.15485333333334</v>
      </c>
      <c r="I789" s="175">
        <f t="shared" si="52"/>
        <v>77140.211782604063</v>
      </c>
      <c r="J789" s="175">
        <f t="shared" ref="J789:J824" si="53">(I789*G789)/1000</f>
        <v>11158.223638057183</v>
      </c>
      <c r="K789" s="176">
        <f t="shared" ref="K789:K824" si="54">0.00000001*3.14*(H789/2)^2*G789</f>
        <v>0.10366759903237928</v>
      </c>
    </row>
    <row r="790" spans="1:11" x14ac:dyDescent="0.2">
      <c r="A790" s="500"/>
      <c r="B790" s="501"/>
      <c r="C790" s="501"/>
      <c r="D790" s="501"/>
      <c r="E790" s="535"/>
      <c r="F790" s="179" t="s">
        <v>172</v>
      </c>
      <c r="G790" s="177">
        <v>578.59440000000006</v>
      </c>
      <c r="H790" s="171">
        <v>275.63594333333333</v>
      </c>
      <c r="I790" s="175">
        <f t="shared" ref="I790:I824" si="55">EXP(-1.996+2.32*LN(H790))</f>
        <v>62334.342816251963</v>
      </c>
      <c r="J790" s="175">
        <f t="shared" si="53"/>
        <v>36066.301681163619</v>
      </c>
      <c r="K790" s="176">
        <f t="shared" si="54"/>
        <v>0.34507665681757543</v>
      </c>
    </row>
    <row r="791" spans="1:11" ht="15" customHeight="1" x14ac:dyDescent="0.2">
      <c r="A791" s="500">
        <v>14</v>
      </c>
      <c r="B791" s="501"/>
      <c r="C791" s="501"/>
      <c r="D791" s="501" t="s">
        <v>35</v>
      </c>
      <c r="E791" s="535">
        <f>Assumptions!D74</f>
        <v>3768.0449999999996</v>
      </c>
      <c r="F791" s="179" t="s">
        <v>201</v>
      </c>
      <c r="G791" s="177">
        <v>96.432400000000001</v>
      </c>
      <c r="H791" s="171">
        <v>96.432400000000001</v>
      </c>
      <c r="I791" s="175">
        <f t="shared" si="55"/>
        <v>5451.8703255234514</v>
      </c>
      <c r="J791" s="175">
        <f t="shared" si="53"/>
        <v>525.73693997900773</v>
      </c>
      <c r="K791" s="176">
        <f t="shared" si="54"/>
        <v>7.0394476481923434E-3</v>
      </c>
    </row>
    <row r="792" spans="1:11" x14ac:dyDescent="0.2">
      <c r="A792" s="500"/>
      <c r="B792" s="501"/>
      <c r="C792" s="501"/>
      <c r="D792" s="501"/>
      <c r="E792" s="535"/>
      <c r="F792" s="179" t="s">
        <v>200</v>
      </c>
      <c r="G792" s="177">
        <v>1542.9184</v>
      </c>
      <c r="H792" s="171">
        <v>68.105382500000005</v>
      </c>
      <c r="I792" s="175">
        <f t="shared" si="55"/>
        <v>2432.9273834947508</v>
      </c>
      <c r="J792" s="175">
        <f t="shared" si="53"/>
        <v>3753.808425857907</v>
      </c>
      <c r="K792" s="176">
        <f t="shared" si="54"/>
        <v>5.6179191887355033E-2</v>
      </c>
    </row>
    <row r="793" spans="1:11" x14ac:dyDescent="0.2">
      <c r="A793" s="500"/>
      <c r="B793" s="501"/>
      <c r="C793" s="501"/>
      <c r="D793" s="501"/>
      <c r="E793" s="535"/>
      <c r="F793" s="179" t="s">
        <v>171</v>
      </c>
      <c r="G793" s="177">
        <v>385.7296</v>
      </c>
      <c r="H793" s="171">
        <v>120.54049999999999</v>
      </c>
      <c r="I793" s="175">
        <f t="shared" si="55"/>
        <v>9149.0657280190226</v>
      </c>
      <c r="J793" s="175">
        <f t="shared" si="53"/>
        <v>3529.0654636424865</v>
      </c>
      <c r="K793" s="176">
        <f t="shared" si="54"/>
        <v>4.3996547801202143E-2</v>
      </c>
    </row>
    <row r="794" spans="1:11" ht="33" customHeight="1" x14ac:dyDescent="0.2">
      <c r="A794" s="500">
        <v>15</v>
      </c>
      <c r="B794" s="501"/>
      <c r="C794" s="501"/>
      <c r="D794" s="501" t="s">
        <v>34</v>
      </c>
      <c r="E794" s="535">
        <f>Assumptions!D75</f>
        <v>236.66199999999998</v>
      </c>
      <c r="F794" s="179" t="s">
        <v>292</v>
      </c>
      <c r="G794" s="177">
        <v>53.037819999999996</v>
      </c>
      <c r="H794" s="171">
        <v>77.145920000000004</v>
      </c>
      <c r="I794" s="175">
        <f t="shared" si="55"/>
        <v>3248.7349998259165</v>
      </c>
      <c r="J794" s="175">
        <f t="shared" si="53"/>
        <v>172.30582214846697</v>
      </c>
      <c r="K794" s="176">
        <f t="shared" si="54"/>
        <v>2.4778855721637053E-3</v>
      </c>
    </row>
    <row r="795" spans="1:11" x14ac:dyDescent="0.2">
      <c r="A795" s="500"/>
      <c r="B795" s="501"/>
      <c r="C795" s="501"/>
      <c r="D795" s="501"/>
      <c r="E795" s="535"/>
      <c r="F795" s="179" t="s">
        <v>293</v>
      </c>
      <c r="G795" s="177">
        <v>127.290768</v>
      </c>
      <c r="H795" s="171">
        <v>300.86908800000003</v>
      </c>
      <c r="I795" s="175">
        <f t="shared" si="55"/>
        <v>76380.795213588877</v>
      </c>
      <c r="J795" s="175">
        <f t="shared" si="53"/>
        <v>9722.5700831884515</v>
      </c>
      <c r="K795" s="176">
        <f t="shared" si="54"/>
        <v>9.045273492626392E-2</v>
      </c>
    </row>
    <row r="796" spans="1:11" x14ac:dyDescent="0.2">
      <c r="A796" s="162">
        <v>16</v>
      </c>
      <c r="B796" s="170"/>
      <c r="C796" s="170"/>
      <c r="D796" s="170" t="s">
        <v>35</v>
      </c>
      <c r="E796" s="171">
        <f>Assumptions!D76</f>
        <v>6640.8160000000016</v>
      </c>
      <c r="F796" s="179" t="s">
        <v>323</v>
      </c>
      <c r="G796" s="177">
        <v>0</v>
      </c>
      <c r="H796" s="171">
        <v>0</v>
      </c>
      <c r="I796" s="175">
        <v>0</v>
      </c>
      <c r="J796" s="175">
        <f t="shared" si="53"/>
        <v>0</v>
      </c>
      <c r="K796" s="176">
        <f t="shared" si="54"/>
        <v>0</v>
      </c>
    </row>
    <row r="797" spans="1:11" x14ac:dyDescent="0.2">
      <c r="A797" s="162">
        <v>17</v>
      </c>
      <c r="B797" s="75"/>
      <c r="C797" s="75"/>
      <c r="D797" s="75" t="s">
        <v>36</v>
      </c>
      <c r="E797" s="481">
        <f>Assumptions!D77</f>
        <v>837.08299999999997</v>
      </c>
      <c r="F797" s="179" t="s">
        <v>323</v>
      </c>
      <c r="G797" s="177">
        <v>0</v>
      </c>
      <c r="H797" s="171">
        <v>0</v>
      </c>
      <c r="I797" s="175">
        <v>0</v>
      </c>
      <c r="J797" s="175">
        <f t="shared" si="53"/>
        <v>0</v>
      </c>
      <c r="K797" s="176">
        <f t="shared" si="54"/>
        <v>0</v>
      </c>
    </row>
    <row r="798" spans="1:11" ht="15" customHeight="1" x14ac:dyDescent="0.2">
      <c r="A798" s="500">
        <v>18</v>
      </c>
      <c r="B798" s="501"/>
      <c r="C798" s="501"/>
      <c r="D798" s="501" t="s">
        <v>34</v>
      </c>
      <c r="E798" s="535">
        <f>Assumptions!D78</f>
        <v>1849.3409999999997</v>
      </c>
      <c r="F798" s="173" t="s">
        <v>308</v>
      </c>
      <c r="G798" s="178">
        <v>964.32399999999996</v>
      </c>
      <c r="H798" s="171">
        <v>63.645384</v>
      </c>
      <c r="I798" s="175">
        <f t="shared" si="55"/>
        <v>2079.1577811532616</v>
      </c>
      <c r="J798" s="175">
        <f t="shared" si="53"/>
        <v>2004.9817481528376</v>
      </c>
      <c r="K798" s="176">
        <f t="shared" si="54"/>
        <v>3.0663833955525851E-2</v>
      </c>
    </row>
    <row r="799" spans="1:11" x14ac:dyDescent="0.2">
      <c r="A799" s="500"/>
      <c r="B799" s="501"/>
      <c r="C799" s="501"/>
      <c r="D799" s="501"/>
      <c r="E799" s="535"/>
      <c r="F799" s="173" t="s">
        <v>309</v>
      </c>
      <c r="G799" s="178">
        <v>241.08099999999999</v>
      </c>
      <c r="H799" s="171">
        <v>73.288623999999999</v>
      </c>
      <c r="I799" s="175">
        <f t="shared" si="55"/>
        <v>2884.2509977905802</v>
      </c>
      <c r="J799" s="175">
        <f t="shared" si="53"/>
        <v>695.33811479835083</v>
      </c>
      <c r="K799" s="176">
        <f t="shared" si="54"/>
        <v>1.0164962403989744E-2</v>
      </c>
    </row>
    <row r="800" spans="1:11" x14ac:dyDescent="0.2">
      <c r="A800" s="500"/>
      <c r="B800" s="501"/>
      <c r="C800" s="501"/>
      <c r="D800" s="501"/>
      <c r="E800" s="535"/>
      <c r="F800" s="173" t="s">
        <v>310</v>
      </c>
      <c r="G800" s="178">
        <v>48.216200000000001</v>
      </c>
      <c r="H800" s="171">
        <v>77.145920000000004</v>
      </c>
      <c r="I800" s="175">
        <f t="shared" si="55"/>
        <v>3248.7349998259165</v>
      </c>
      <c r="J800" s="175">
        <f t="shared" si="53"/>
        <v>156.64165649860635</v>
      </c>
      <c r="K800" s="176">
        <f t="shared" si="54"/>
        <v>2.2526232474215503E-3</v>
      </c>
    </row>
    <row r="801" spans="1:11" x14ac:dyDescent="0.2">
      <c r="A801" s="500"/>
      <c r="B801" s="501"/>
      <c r="C801" s="501"/>
      <c r="D801" s="501"/>
      <c r="E801" s="535"/>
      <c r="F801" s="173" t="s">
        <v>185</v>
      </c>
      <c r="G801" s="178">
        <v>48.216200000000001</v>
      </c>
      <c r="H801" s="171">
        <v>96.432400000000001</v>
      </c>
      <c r="I801" s="175">
        <f t="shared" si="55"/>
        <v>5451.8703255234514</v>
      </c>
      <c r="J801" s="175">
        <f t="shared" si="53"/>
        <v>262.86846998950386</v>
      </c>
      <c r="K801" s="176">
        <f t="shared" si="54"/>
        <v>3.5197238240961717E-3</v>
      </c>
    </row>
    <row r="802" spans="1:11" x14ac:dyDescent="0.2">
      <c r="A802" s="500"/>
      <c r="B802" s="501"/>
      <c r="C802" s="501"/>
      <c r="D802" s="501"/>
      <c r="E802" s="535"/>
      <c r="F802" s="173" t="s">
        <v>311</v>
      </c>
      <c r="G802" s="178">
        <v>241.08099999999999</v>
      </c>
      <c r="H802" s="171">
        <v>67.502679999999998</v>
      </c>
      <c r="I802" s="175">
        <f t="shared" si="55"/>
        <v>2383.2684856750739</v>
      </c>
      <c r="J802" s="175">
        <f t="shared" si="53"/>
        <v>574.56074979503239</v>
      </c>
      <c r="K802" s="176">
        <f t="shared" si="54"/>
        <v>8.6233233690356202E-3</v>
      </c>
    </row>
    <row r="803" spans="1:11" x14ac:dyDescent="0.2">
      <c r="A803" s="500"/>
      <c r="B803" s="501"/>
      <c r="C803" s="501"/>
      <c r="D803" s="501"/>
      <c r="E803" s="535"/>
      <c r="F803" s="173" t="s">
        <v>295</v>
      </c>
      <c r="G803" s="178">
        <v>96.432400000000001</v>
      </c>
      <c r="H803" s="171">
        <v>81.96754</v>
      </c>
      <c r="I803" s="175">
        <f t="shared" si="55"/>
        <v>3739.3612660518756</v>
      </c>
      <c r="J803" s="175">
        <f t="shared" si="53"/>
        <v>360.59558135242094</v>
      </c>
      <c r="K803" s="176">
        <f t="shared" si="54"/>
        <v>5.0860009258189686E-3</v>
      </c>
    </row>
    <row r="804" spans="1:11" x14ac:dyDescent="0.2">
      <c r="A804" s="500"/>
      <c r="B804" s="501"/>
      <c r="C804" s="501"/>
      <c r="D804" s="501"/>
      <c r="E804" s="535"/>
      <c r="F804" s="173" t="s">
        <v>312</v>
      </c>
      <c r="G804" s="178">
        <v>964.32399999999996</v>
      </c>
      <c r="H804" s="171">
        <v>77.145920000000004</v>
      </c>
      <c r="I804" s="175">
        <f t="shared" si="55"/>
        <v>3248.7349998259165</v>
      </c>
      <c r="J804" s="175">
        <f t="shared" si="53"/>
        <v>3132.8331299721267</v>
      </c>
      <c r="K804" s="176">
        <f t="shared" si="54"/>
        <v>4.5052464948431001E-2</v>
      </c>
    </row>
    <row r="805" spans="1:11" x14ac:dyDescent="0.2">
      <c r="A805" s="500"/>
      <c r="B805" s="501"/>
      <c r="C805" s="501"/>
      <c r="D805" s="501"/>
      <c r="E805" s="535"/>
      <c r="F805" s="173" t="s">
        <v>313</v>
      </c>
      <c r="G805" s="178">
        <v>241.08099999999999</v>
      </c>
      <c r="H805" s="171">
        <v>183.22156000000001</v>
      </c>
      <c r="I805" s="175">
        <f t="shared" si="55"/>
        <v>24168.732316803384</v>
      </c>
      <c r="J805" s="175">
        <f t="shared" si="53"/>
        <v>5826.6221556672763</v>
      </c>
      <c r="K805" s="176">
        <f t="shared" si="54"/>
        <v>6.3531015024935925E-2</v>
      </c>
    </row>
    <row r="806" spans="1:11" x14ac:dyDescent="0.2">
      <c r="A806" s="500"/>
      <c r="B806" s="501"/>
      <c r="C806" s="501"/>
      <c r="D806" s="501"/>
      <c r="E806" s="535"/>
      <c r="F806" s="173" t="s">
        <v>314</v>
      </c>
      <c r="G806" s="178">
        <v>144.64860000000002</v>
      </c>
      <c r="H806" s="171">
        <v>108.96861199999999</v>
      </c>
      <c r="I806" s="175">
        <f t="shared" si="55"/>
        <v>7239.1488455561685</v>
      </c>
      <c r="J806" s="175">
        <f t="shared" si="53"/>
        <v>1047.1327457013163</v>
      </c>
      <c r="K806" s="176">
        <f t="shared" si="54"/>
        <v>1.3483006052965207E-2</v>
      </c>
    </row>
    <row r="807" spans="1:11" x14ac:dyDescent="0.2">
      <c r="A807" s="500"/>
      <c r="B807" s="501"/>
      <c r="C807" s="501"/>
      <c r="D807" s="501"/>
      <c r="E807" s="535"/>
      <c r="F807" s="173" t="s">
        <v>315</v>
      </c>
      <c r="G807" s="178">
        <v>1060.7564</v>
      </c>
      <c r="H807" s="171">
        <v>304.726384</v>
      </c>
      <c r="I807" s="175">
        <f t="shared" si="55"/>
        <v>78671.883735262425</v>
      </c>
      <c r="J807" s="175">
        <f t="shared" si="53"/>
        <v>83451.704172235521</v>
      </c>
      <c r="K807" s="176">
        <f t="shared" si="54"/>
        <v>0.77322419279368415</v>
      </c>
    </row>
    <row r="808" spans="1:11" x14ac:dyDescent="0.2">
      <c r="A808" s="500"/>
      <c r="B808" s="501"/>
      <c r="C808" s="501"/>
      <c r="D808" s="501"/>
      <c r="E808" s="535"/>
      <c r="F808" s="173" t="s">
        <v>316</v>
      </c>
      <c r="G808" s="178">
        <v>241.08099999999999</v>
      </c>
      <c r="H808" s="171">
        <v>298.94044000000002</v>
      </c>
      <c r="I808" s="175">
        <f>EXP(-1.996+2.32*LN(H808))</f>
        <v>75249.678218760746</v>
      </c>
      <c r="J808" s="175">
        <f t="shared" si="53"/>
        <v>18141.267674657058</v>
      </c>
      <c r="K808" s="176">
        <f t="shared" si="54"/>
        <v>0.16912272974782108</v>
      </c>
    </row>
    <row r="809" spans="1:11" x14ac:dyDescent="0.2">
      <c r="A809" s="500"/>
      <c r="B809" s="501"/>
      <c r="C809" s="501"/>
      <c r="D809" s="501"/>
      <c r="E809" s="535"/>
      <c r="F809" s="173" t="s">
        <v>317</v>
      </c>
      <c r="G809" s="178">
        <v>241.08099999999999</v>
      </c>
      <c r="H809" s="171">
        <v>297.97611599999999</v>
      </c>
      <c r="I809" s="175">
        <f t="shared" si="55"/>
        <v>74687.717907253813</v>
      </c>
      <c r="J809" s="175">
        <f t="shared" si="53"/>
        <v>18005.789720798657</v>
      </c>
      <c r="K809" s="176">
        <f t="shared" si="54"/>
        <v>0.16803337522426329</v>
      </c>
    </row>
    <row r="810" spans="1:11" x14ac:dyDescent="0.2">
      <c r="A810" s="500"/>
      <c r="B810" s="501"/>
      <c r="C810" s="501"/>
      <c r="D810" s="501"/>
      <c r="E810" s="535"/>
      <c r="F810" s="173" t="s">
        <v>172</v>
      </c>
      <c r="G810" s="178">
        <v>530.37819999999999</v>
      </c>
      <c r="H810" s="171">
        <v>175.506968</v>
      </c>
      <c r="I810" s="175">
        <f t="shared" si="55"/>
        <v>21873.140246434119</v>
      </c>
      <c r="J810" s="175">
        <f t="shared" si="53"/>
        <v>11601.036752251284</v>
      </c>
      <c r="K810" s="176">
        <f t="shared" si="54"/>
        <v>0.12824606514429776</v>
      </c>
    </row>
    <row r="811" spans="1:11" x14ac:dyDescent="0.2">
      <c r="A811" s="500"/>
      <c r="B811" s="501"/>
      <c r="C811" s="501"/>
      <c r="D811" s="501"/>
      <c r="E811" s="535"/>
      <c r="F811" s="173" t="s">
        <v>318</v>
      </c>
      <c r="G811" s="178">
        <v>506.27009999999996</v>
      </c>
      <c r="H811" s="171">
        <v>163.93508</v>
      </c>
      <c r="I811" s="175">
        <f t="shared" si="55"/>
        <v>18671.835607167821</v>
      </c>
      <c r="J811" s="175">
        <f t="shared" si="53"/>
        <v>9452.9920800244126</v>
      </c>
      <c r="K811" s="176">
        <f t="shared" si="54"/>
        <v>0.10680601944219832</v>
      </c>
    </row>
    <row r="812" spans="1:11" x14ac:dyDescent="0.2">
      <c r="A812" s="500"/>
      <c r="B812" s="501"/>
      <c r="C812" s="501"/>
      <c r="D812" s="501"/>
      <c r="E812" s="535"/>
      <c r="F812" s="173" t="s">
        <v>319</v>
      </c>
      <c r="G812" s="178">
        <v>216.97289999999998</v>
      </c>
      <c r="H812" s="171">
        <v>270.01071999999999</v>
      </c>
      <c r="I812" s="175">
        <f t="shared" si="55"/>
        <v>59422.668411492414</v>
      </c>
      <c r="J812" s="175">
        <f t="shared" si="53"/>
        <v>12893.108690979901</v>
      </c>
      <c r="K812" s="176">
        <f t="shared" si="54"/>
        <v>0.12417585651411293</v>
      </c>
    </row>
    <row r="813" spans="1:11" x14ac:dyDescent="0.2">
      <c r="A813" s="500"/>
      <c r="B813" s="501"/>
      <c r="C813" s="501"/>
      <c r="D813" s="501"/>
      <c r="E813" s="535"/>
      <c r="F813" s="173" t="s">
        <v>320</v>
      </c>
      <c r="G813" s="178">
        <v>48.216200000000001</v>
      </c>
      <c r="H813" s="171">
        <v>298.94044000000002</v>
      </c>
      <c r="I813" s="175">
        <f t="shared" si="55"/>
        <v>75249.678218760746</v>
      </c>
      <c r="J813" s="175">
        <f t="shared" si="53"/>
        <v>3628.2535349314121</v>
      </c>
      <c r="K813" s="176">
        <f t="shared" si="54"/>
        <v>3.3824545949564223E-2</v>
      </c>
    </row>
    <row r="814" spans="1:11" x14ac:dyDescent="0.2">
      <c r="A814" s="162">
        <v>19</v>
      </c>
      <c r="B814" s="180"/>
      <c r="C814" s="180"/>
      <c r="D814" s="180" t="s">
        <v>37</v>
      </c>
      <c r="E814" s="481">
        <f>Assumptions!D79</f>
        <v>7884.7310000000007</v>
      </c>
      <c r="F814" s="173" t="s">
        <v>323</v>
      </c>
      <c r="G814" s="177">
        <v>0</v>
      </c>
      <c r="H814" s="171">
        <v>0</v>
      </c>
      <c r="I814" s="175">
        <v>0</v>
      </c>
      <c r="J814" s="175">
        <f t="shared" si="53"/>
        <v>0</v>
      </c>
      <c r="K814" s="176">
        <f t="shared" si="54"/>
        <v>0</v>
      </c>
    </row>
    <row r="815" spans="1:11" x14ac:dyDescent="0.2">
      <c r="A815" s="162">
        <v>20</v>
      </c>
      <c r="B815" s="180"/>
      <c r="C815" s="180"/>
      <c r="D815" s="180" t="s">
        <v>36</v>
      </c>
      <c r="E815" s="481">
        <f>Assumptions!D80</f>
        <v>2195.1750000000002</v>
      </c>
      <c r="F815" s="173" t="s">
        <v>323</v>
      </c>
      <c r="G815" s="177">
        <v>0</v>
      </c>
      <c r="H815" s="171">
        <v>0</v>
      </c>
      <c r="I815" s="175">
        <v>0</v>
      </c>
      <c r="J815" s="175">
        <f t="shared" si="53"/>
        <v>0</v>
      </c>
      <c r="K815" s="176">
        <f t="shared" si="54"/>
        <v>0</v>
      </c>
    </row>
    <row r="816" spans="1:11" x14ac:dyDescent="0.2">
      <c r="A816" s="162">
        <v>21</v>
      </c>
      <c r="B816" s="180"/>
      <c r="C816" s="180"/>
      <c r="D816" s="180" t="s">
        <v>37</v>
      </c>
      <c r="E816" s="481">
        <f>Assumptions!D81</f>
        <v>454.25200000000001</v>
      </c>
      <c r="F816" s="173" t="s">
        <v>323</v>
      </c>
      <c r="G816" s="177">
        <v>0</v>
      </c>
      <c r="H816" s="171">
        <v>0</v>
      </c>
      <c r="I816" s="175">
        <v>0</v>
      </c>
      <c r="J816" s="175">
        <f t="shared" si="53"/>
        <v>0</v>
      </c>
      <c r="K816" s="176">
        <f t="shared" si="54"/>
        <v>0</v>
      </c>
    </row>
    <row r="817" spans="1:11" ht="15" customHeight="1" x14ac:dyDescent="0.2">
      <c r="A817" s="500">
        <v>22</v>
      </c>
      <c r="B817" s="501"/>
      <c r="C817" s="501"/>
      <c r="D817" s="501" t="s">
        <v>35</v>
      </c>
      <c r="E817" s="535">
        <f>Assumptions!D82</f>
        <v>18064.454000000005</v>
      </c>
      <c r="F817" s="179" t="s">
        <v>175</v>
      </c>
      <c r="G817" s="177">
        <v>96.432400000000001</v>
      </c>
      <c r="H817" s="171">
        <v>68.880285714285705</v>
      </c>
      <c r="I817" s="175">
        <f t="shared" si="55"/>
        <v>2497.6321419650671</v>
      </c>
      <c r="J817" s="175">
        <f t="shared" si="53"/>
        <v>240.85266176683214</v>
      </c>
      <c r="K817" s="176">
        <f t="shared" si="54"/>
        <v>3.5915549225471132E-3</v>
      </c>
    </row>
    <row r="818" spans="1:11" x14ac:dyDescent="0.2">
      <c r="A818" s="500"/>
      <c r="B818" s="501"/>
      <c r="C818" s="501"/>
      <c r="D818" s="501"/>
      <c r="E818" s="535"/>
      <c r="F818" s="179" t="s">
        <v>172</v>
      </c>
      <c r="G818" s="177">
        <v>723.24300000000005</v>
      </c>
      <c r="H818" s="171">
        <v>173.57831999999999</v>
      </c>
      <c r="I818" s="175">
        <f t="shared" si="55"/>
        <v>21319.535060068451</v>
      </c>
      <c r="J818" s="175">
        <f t="shared" si="53"/>
        <v>15419.204495449087</v>
      </c>
      <c r="K818" s="176">
        <f t="shared" si="54"/>
        <v>0.17105857785107395</v>
      </c>
    </row>
    <row r="819" spans="1:11" x14ac:dyDescent="0.2">
      <c r="A819" s="500"/>
      <c r="B819" s="501"/>
      <c r="C819" s="501"/>
      <c r="D819" s="501"/>
      <c r="E819" s="535"/>
      <c r="F819" s="179" t="s">
        <v>202</v>
      </c>
      <c r="G819" s="177">
        <v>48.216200000000001</v>
      </c>
      <c r="H819" s="171">
        <v>120.21905866666667</v>
      </c>
      <c r="I819" s="175">
        <f t="shared" si="55"/>
        <v>9092.5630996063155</v>
      </c>
      <c r="J819" s="175">
        <f t="shared" si="53"/>
        <v>438.40884092323802</v>
      </c>
      <c r="K819" s="176">
        <f t="shared" si="54"/>
        <v>5.4702765513252915E-3</v>
      </c>
    </row>
    <row r="820" spans="1:11" x14ac:dyDescent="0.2">
      <c r="A820" s="500"/>
      <c r="B820" s="501"/>
      <c r="C820" s="501"/>
      <c r="D820" s="501"/>
      <c r="E820" s="535"/>
      <c r="F820" s="179" t="s">
        <v>177</v>
      </c>
      <c r="G820" s="177">
        <v>433.94579999999996</v>
      </c>
      <c r="H820" s="171">
        <v>99.646813333333327</v>
      </c>
      <c r="I820" s="175">
        <f t="shared" si="55"/>
        <v>5882.7898739636494</v>
      </c>
      <c r="J820" s="175">
        <f t="shared" si="53"/>
        <v>2552.8119580890548</v>
      </c>
      <c r="K820" s="176">
        <f t="shared" si="54"/>
        <v>3.382454594956421E-2</v>
      </c>
    </row>
    <row r="821" spans="1:11" x14ac:dyDescent="0.2">
      <c r="A821" s="500"/>
      <c r="B821" s="501"/>
      <c r="C821" s="501"/>
      <c r="D821" s="501"/>
      <c r="E821" s="535"/>
      <c r="F821" s="179" t="s">
        <v>188</v>
      </c>
      <c r="G821" s="177">
        <v>337.51339999999999</v>
      </c>
      <c r="H821" s="171">
        <v>113.57593777777777</v>
      </c>
      <c r="I821" s="175">
        <f t="shared" si="55"/>
        <v>7969.1592027340657</v>
      </c>
      <c r="J821" s="175">
        <f t="shared" si="53"/>
        <v>2689.6980176560637</v>
      </c>
      <c r="K821" s="176">
        <f t="shared" si="54"/>
        <v>3.4176952865779264E-2</v>
      </c>
    </row>
    <row r="822" spans="1:11" x14ac:dyDescent="0.2">
      <c r="A822" s="500"/>
      <c r="B822" s="501"/>
      <c r="C822" s="501"/>
      <c r="D822" s="501"/>
      <c r="E822" s="535"/>
      <c r="F822" s="179" t="s">
        <v>173</v>
      </c>
      <c r="G822" s="177">
        <v>1012.5401999999999</v>
      </c>
      <c r="H822" s="171">
        <v>50.512209523809524</v>
      </c>
      <c r="I822" s="175">
        <f t="shared" si="55"/>
        <v>1216.2638065271019</v>
      </c>
      <c r="J822" s="175">
        <f t="shared" si="53"/>
        <v>1231.5159979137129</v>
      </c>
      <c r="K822" s="176">
        <f t="shared" si="54"/>
        <v>2.0280313462649371E-2</v>
      </c>
    </row>
    <row r="823" spans="1:11" x14ac:dyDescent="0.2">
      <c r="A823" s="500"/>
      <c r="B823" s="501"/>
      <c r="C823" s="501"/>
      <c r="D823" s="501"/>
      <c r="E823" s="535"/>
      <c r="F823" s="179" t="s">
        <v>185</v>
      </c>
      <c r="G823" s="177">
        <v>289.29720000000003</v>
      </c>
      <c r="H823" s="171">
        <v>212.15128000000001</v>
      </c>
      <c r="I823" s="175">
        <f t="shared" si="55"/>
        <v>33959.879218071954</v>
      </c>
      <c r="J823" s="175">
        <f t="shared" si="53"/>
        <v>9824.4979701264074</v>
      </c>
      <c r="K823" s="176">
        <f t="shared" si="54"/>
        <v>0.10221277985175287</v>
      </c>
    </row>
    <row r="824" spans="1:11" x14ac:dyDescent="0.2">
      <c r="A824" s="500"/>
      <c r="B824" s="501"/>
      <c r="C824" s="501"/>
      <c r="D824" s="501"/>
      <c r="E824" s="535"/>
      <c r="F824" s="179" t="s">
        <v>170</v>
      </c>
      <c r="G824" s="177">
        <v>96.432400000000001</v>
      </c>
      <c r="H824" s="171">
        <v>57.859439999999999</v>
      </c>
      <c r="I824" s="175">
        <f t="shared" si="55"/>
        <v>1666.6960967510881</v>
      </c>
      <c r="J824" s="175">
        <f t="shared" si="53"/>
        <v>160.72350468033963</v>
      </c>
      <c r="K824" s="176">
        <f t="shared" si="54"/>
        <v>2.5342011533492437E-3</v>
      </c>
    </row>
    <row r="825" spans="1:11" x14ac:dyDescent="0.2">
      <c r="A825" s="152">
        <v>2021</v>
      </c>
      <c r="E825" s="81"/>
    </row>
    <row r="826" spans="1:11" ht="26" x14ac:dyDescent="0.2">
      <c r="A826" s="545" t="s">
        <v>8</v>
      </c>
      <c r="B826" s="545" t="s">
        <v>169</v>
      </c>
      <c r="C826" s="545" t="s">
        <v>31</v>
      </c>
      <c r="D826" s="545" t="s">
        <v>32</v>
      </c>
      <c r="E826" s="182" t="s">
        <v>514</v>
      </c>
      <c r="F826" s="545" t="s">
        <v>494</v>
      </c>
      <c r="G826" s="183" t="s">
        <v>495</v>
      </c>
      <c r="H826" s="183" t="s">
        <v>511</v>
      </c>
      <c r="I826" s="183" t="s">
        <v>205</v>
      </c>
      <c r="J826" s="183" t="s">
        <v>497</v>
      </c>
      <c r="K826" s="184" t="s">
        <v>515</v>
      </c>
    </row>
    <row r="827" spans="1:11" x14ac:dyDescent="0.2">
      <c r="A827" s="546"/>
      <c r="B827" s="546"/>
      <c r="C827" s="546"/>
      <c r="D827" s="546"/>
      <c r="E827" s="185" t="s">
        <v>499</v>
      </c>
      <c r="F827" s="546"/>
      <c r="G827" s="185" t="s">
        <v>516</v>
      </c>
      <c r="H827" s="185" t="s">
        <v>500</v>
      </c>
      <c r="I827" s="186" t="s">
        <v>501</v>
      </c>
      <c r="J827" s="186" t="s">
        <v>497</v>
      </c>
      <c r="K827" s="187"/>
    </row>
    <row r="828" spans="1:11" x14ac:dyDescent="0.2">
      <c r="A828" s="536">
        <v>1</v>
      </c>
      <c r="B828" s="536"/>
      <c r="C828" s="536"/>
      <c r="D828" s="536" t="s">
        <v>34</v>
      </c>
      <c r="E828" s="542">
        <f>Assumptions!D61</f>
        <v>183.761</v>
      </c>
      <c r="F828" s="188" t="s">
        <v>292</v>
      </c>
      <c r="G828" s="189">
        <v>50</v>
      </c>
      <c r="H828" s="186">
        <v>78.900000000000006</v>
      </c>
      <c r="I828" s="186">
        <v>3421.4</v>
      </c>
      <c r="J828" s="186">
        <v>170.2</v>
      </c>
      <c r="K828" s="190">
        <v>2.431E-3</v>
      </c>
    </row>
    <row r="829" spans="1:11" x14ac:dyDescent="0.2">
      <c r="A829" s="537"/>
      <c r="B829" s="537"/>
      <c r="C829" s="537"/>
      <c r="D829" s="537"/>
      <c r="E829" s="543"/>
      <c r="F829" s="188" t="s">
        <v>293</v>
      </c>
      <c r="G829" s="191">
        <v>98</v>
      </c>
      <c r="H829" s="186">
        <v>59.2</v>
      </c>
      <c r="I829" s="186">
        <v>1760.9</v>
      </c>
      <c r="J829" s="186">
        <v>172.9</v>
      </c>
      <c r="K829" s="190">
        <v>2.7060000000000001E-3</v>
      </c>
    </row>
    <row r="830" spans="1:11" x14ac:dyDescent="0.2">
      <c r="A830" s="537"/>
      <c r="B830" s="537"/>
      <c r="C830" s="537"/>
      <c r="D830" s="537"/>
      <c r="E830" s="543"/>
      <c r="F830" s="188" t="s">
        <v>294</v>
      </c>
      <c r="G830" s="189">
        <v>836</v>
      </c>
      <c r="H830" s="186">
        <v>54.3</v>
      </c>
      <c r="I830" s="186">
        <v>1440.7</v>
      </c>
      <c r="J830" s="186">
        <v>1204</v>
      </c>
      <c r="K830" s="190">
        <v>1.9369000000000001E-2</v>
      </c>
    </row>
    <row r="831" spans="1:11" x14ac:dyDescent="0.2">
      <c r="A831" s="537"/>
      <c r="B831" s="537"/>
      <c r="C831" s="537"/>
      <c r="D831" s="537"/>
      <c r="E831" s="543"/>
      <c r="F831" s="188" t="s">
        <v>295</v>
      </c>
      <c r="G831" s="192">
        <v>197</v>
      </c>
      <c r="H831" s="186">
        <v>81.5</v>
      </c>
      <c r="I831" s="186">
        <v>3690.7</v>
      </c>
      <c r="J831" s="186">
        <v>726.1</v>
      </c>
      <c r="K831" s="190">
        <v>1.0259000000000001E-2</v>
      </c>
    </row>
    <row r="832" spans="1:11" x14ac:dyDescent="0.2">
      <c r="A832" s="537"/>
      <c r="B832" s="537"/>
      <c r="C832" s="537"/>
      <c r="D832" s="537"/>
      <c r="E832" s="543"/>
      <c r="F832" s="188" t="s">
        <v>296</v>
      </c>
      <c r="G832" s="192">
        <v>98</v>
      </c>
      <c r="H832" s="186">
        <v>83.5</v>
      </c>
      <c r="I832" s="186">
        <v>3900.3</v>
      </c>
      <c r="J832" s="186">
        <v>383</v>
      </c>
      <c r="K832" s="190">
        <v>5.3709999999999999E-3</v>
      </c>
    </row>
    <row r="833" spans="1:11" x14ac:dyDescent="0.2">
      <c r="A833" s="537"/>
      <c r="B833" s="537"/>
      <c r="C833" s="537"/>
      <c r="D833" s="537"/>
      <c r="E833" s="543"/>
      <c r="F833" s="188" t="s">
        <v>297</v>
      </c>
      <c r="G833" s="192">
        <v>49</v>
      </c>
      <c r="H833" s="186">
        <v>70</v>
      </c>
      <c r="I833" s="186">
        <v>2597.1</v>
      </c>
      <c r="J833" s="186">
        <v>126.7</v>
      </c>
      <c r="K833" s="190">
        <v>1.879E-3</v>
      </c>
    </row>
    <row r="834" spans="1:11" x14ac:dyDescent="0.2">
      <c r="A834" s="537"/>
      <c r="B834" s="537"/>
      <c r="C834" s="537"/>
      <c r="D834" s="537"/>
      <c r="E834" s="543"/>
      <c r="F834" s="188" t="s">
        <v>298</v>
      </c>
      <c r="G834" s="192">
        <v>98</v>
      </c>
      <c r="H834" s="186">
        <v>60.9</v>
      </c>
      <c r="I834" s="186">
        <v>1875.8</v>
      </c>
      <c r="J834" s="186">
        <v>184.2</v>
      </c>
      <c r="K834" s="190">
        <v>2.8579999999999999E-3</v>
      </c>
    </row>
    <row r="835" spans="1:11" x14ac:dyDescent="0.2">
      <c r="A835" s="537"/>
      <c r="B835" s="537"/>
      <c r="C835" s="537"/>
      <c r="D835" s="537"/>
      <c r="E835" s="543"/>
      <c r="F835" s="188" t="s">
        <v>299</v>
      </c>
      <c r="G835" s="192">
        <v>49</v>
      </c>
      <c r="H835" s="186">
        <v>56</v>
      </c>
      <c r="I835" s="186">
        <v>1543.4</v>
      </c>
      <c r="J835" s="186">
        <v>76.3</v>
      </c>
      <c r="K835" s="190">
        <v>1.2160000000000001E-3</v>
      </c>
    </row>
    <row r="836" spans="1:11" x14ac:dyDescent="0.2">
      <c r="A836" s="537"/>
      <c r="B836" s="537"/>
      <c r="C836" s="537"/>
      <c r="D836" s="537"/>
      <c r="E836" s="543"/>
      <c r="F836" s="188" t="s">
        <v>300</v>
      </c>
      <c r="G836" s="192">
        <v>590</v>
      </c>
      <c r="H836" s="186">
        <v>61.2</v>
      </c>
      <c r="I836" s="186">
        <v>1899.3</v>
      </c>
      <c r="J836" s="186">
        <v>1119.7</v>
      </c>
      <c r="K836" s="190">
        <v>1.7340000000000001E-2</v>
      </c>
    </row>
    <row r="837" spans="1:11" x14ac:dyDescent="0.2">
      <c r="A837" s="537"/>
      <c r="B837" s="537"/>
      <c r="C837" s="537"/>
      <c r="D837" s="537"/>
      <c r="E837" s="543"/>
      <c r="F837" s="188" t="s">
        <v>301</v>
      </c>
      <c r="G837" s="192">
        <v>98</v>
      </c>
      <c r="H837" s="186">
        <v>118.8</v>
      </c>
      <c r="I837" s="186">
        <v>8849.2999999999993</v>
      </c>
      <c r="J837" s="186">
        <v>866.1</v>
      </c>
      <c r="K837" s="190">
        <v>1.0847000000000001E-2</v>
      </c>
    </row>
    <row r="838" spans="1:11" x14ac:dyDescent="0.2">
      <c r="A838" s="537"/>
      <c r="B838" s="537"/>
      <c r="C838" s="537"/>
      <c r="D838" s="537"/>
      <c r="E838" s="543"/>
      <c r="F838" s="188" t="s">
        <v>302</v>
      </c>
      <c r="G838" s="192">
        <v>344</v>
      </c>
      <c r="H838" s="186">
        <v>124.4</v>
      </c>
      <c r="I838" s="186">
        <v>9840.6</v>
      </c>
      <c r="J838" s="186">
        <v>3385.5</v>
      </c>
      <c r="K838" s="190">
        <v>4.1784000000000002E-2</v>
      </c>
    </row>
    <row r="839" spans="1:11" x14ac:dyDescent="0.2">
      <c r="A839" s="537"/>
      <c r="B839" s="537"/>
      <c r="C839" s="537"/>
      <c r="D839" s="537"/>
      <c r="E839" s="543"/>
      <c r="F839" s="188" t="s">
        <v>303</v>
      </c>
      <c r="G839" s="192">
        <v>442</v>
      </c>
      <c r="H839" s="186">
        <v>123.1</v>
      </c>
      <c r="I839" s="186">
        <v>9602</v>
      </c>
      <c r="J839" s="186">
        <v>4240</v>
      </c>
      <c r="K839" s="190">
        <v>5.2507999999999999E-2</v>
      </c>
    </row>
    <row r="840" spans="1:11" x14ac:dyDescent="0.2">
      <c r="A840" s="538"/>
      <c r="B840" s="538"/>
      <c r="C840" s="538"/>
      <c r="D840" s="538"/>
      <c r="E840" s="544"/>
      <c r="F840" s="188" t="s">
        <v>304</v>
      </c>
      <c r="G840" s="192">
        <v>49</v>
      </c>
      <c r="H840" s="186">
        <v>98.9</v>
      </c>
      <c r="I840" s="186">
        <v>5774.9</v>
      </c>
      <c r="J840" s="186">
        <v>281.7</v>
      </c>
      <c r="K840" s="190">
        <v>3.741E-3</v>
      </c>
    </row>
    <row r="841" spans="1:11" x14ac:dyDescent="0.2">
      <c r="A841" s="536">
        <v>2</v>
      </c>
      <c r="B841" s="536"/>
      <c r="C841" s="536"/>
      <c r="D841" s="536" t="s">
        <v>35</v>
      </c>
      <c r="E841" s="542">
        <f>Assumptions!D62</f>
        <v>6772.8780000000015</v>
      </c>
      <c r="F841" s="193" t="s">
        <v>173</v>
      </c>
      <c r="G841" s="191">
        <v>82</v>
      </c>
      <c r="H841" s="186">
        <v>114.6</v>
      </c>
      <c r="I841" s="186">
        <v>8131.4</v>
      </c>
      <c r="J841" s="186">
        <v>662.8</v>
      </c>
      <c r="K841" s="190">
        <v>8.3979999999999992E-3</v>
      </c>
    </row>
    <row r="842" spans="1:11" x14ac:dyDescent="0.2">
      <c r="A842" s="537"/>
      <c r="B842" s="537"/>
      <c r="C842" s="537"/>
      <c r="D842" s="537"/>
      <c r="E842" s="543"/>
      <c r="F842" s="193" t="s">
        <v>170</v>
      </c>
      <c r="G842" s="191">
        <v>164</v>
      </c>
      <c r="H842" s="186">
        <v>78.599999999999994</v>
      </c>
      <c r="I842" s="186">
        <v>3388.6</v>
      </c>
      <c r="J842" s="186">
        <v>555.70000000000005</v>
      </c>
      <c r="K842" s="190">
        <v>7.9450000000000007E-3</v>
      </c>
    </row>
    <row r="843" spans="1:11" x14ac:dyDescent="0.2">
      <c r="A843" s="537"/>
      <c r="B843" s="537"/>
      <c r="C843" s="537"/>
      <c r="D843" s="537"/>
      <c r="E843" s="543"/>
      <c r="F843" s="193" t="s">
        <v>171</v>
      </c>
      <c r="G843" s="191">
        <v>737</v>
      </c>
      <c r="H843" s="186">
        <v>108</v>
      </c>
      <c r="I843" s="186">
        <v>7093.8</v>
      </c>
      <c r="J843" s="186">
        <v>5224.6000000000004</v>
      </c>
      <c r="K843" s="190">
        <v>6.7460999999999993E-2</v>
      </c>
    </row>
    <row r="844" spans="1:11" x14ac:dyDescent="0.2">
      <c r="A844" s="538"/>
      <c r="B844" s="538"/>
      <c r="C844" s="538"/>
      <c r="D844" s="538"/>
      <c r="E844" s="544"/>
      <c r="F844" s="193" t="s">
        <v>172</v>
      </c>
      <c r="G844" s="191">
        <v>417</v>
      </c>
      <c r="H844" s="186">
        <v>124.4</v>
      </c>
      <c r="I844" s="186">
        <v>9840.6</v>
      </c>
      <c r="J844" s="186">
        <v>4107</v>
      </c>
      <c r="K844" s="190">
        <v>5.0688999999999998E-2</v>
      </c>
    </row>
    <row r="845" spans="1:11" x14ac:dyDescent="0.2">
      <c r="A845" s="536">
        <v>3</v>
      </c>
      <c r="B845" s="539"/>
      <c r="C845" s="539"/>
      <c r="D845" s="539" t="s">
        <v>35</v>
      </c>
      <c r="E845" s="542">
        <f>Assumptions!D63</f>
        <v>4319.8270000000002</v>
      </c>
      <c r="F845" s="193" t="s">
        <v>174</v>
      </c>
      <c r="G845" s="191">
        <v>98</v>
      </c>
      <c r="H845" s="186">
        <v>240.6</v>
      </c>
      <c r="I845" s="186">
        <v>45468.7</v>
      </c>
      <c r="J845" s="186">
        <v>4465</v>
      </c>
      <c r="K845" s="190">
        <v>4.4621000000000001E-2</v>
      </c>
    </row>
    <row r="846" spans="1:11" x14ac:dyDescent="0.2">
      <c r="A846" s="537"/>
      <c r="B846" s="540"/>
      <c r="C846" s="540"/>
      <c r="D846" s="540"/>
      <c r="E846" s="543"/>
      <c r="F846" s="193" t="s">
        <v>175</v>
      </c>
      <c r="G846" s="191">
        <v>49</v>
      </c>
      <c r="H846" s="186">
        <v>58.9</v>
      </c>
      <c r="I846" s="186">
        <v>1738.4</v>
      </c>
      <c r="J846" s="186">
        <v>85.4</v>
      </c>
      <c r="K846" s="190">
        <v>1.338E-3</v>
      </c>
    </row>
    <row r="847" spans="1:11" x14ac:dyDescent="0.2">
      <c r="A847" s="537"/>
      <c r="B847" s="540"/>
      <c r="C847" s="540"/>
      <c r="D847" s="540"/>
      <c r="E847" s="543"/>
      <c r="F847" s="193" t="s">
        <v>176</v>
      </c>
      <c r="G847" s="191">
        <v>49</v>
      </c>
      <c r="H847" s="186">
        <v>294.60000000000002</v>
      </c>
      <c r="I847" s="186">
        <v>72739.100000000006</v>
      </c>
      <c r="J847" s="186">
        <v>3571.5</v>
      </c>
      <c r="K847" s="190">
        <v>3.3452000000000003E-2</v>
      </c>
    </row>
    <row r="848" spans="1:11" x14ac:dyDescent="0.2">
      <c r="A848" s="538"/>
      <c r="B848" s="541"/>
      <c r="C848" s="541"/>
      <c r="D848" s="541"/>
      <c r="E848" s="544"/>
      <c r="F848" s="193" t="s">
        <v>177</v>
      </c>
      <c r="G848" s="191">
        <v>49</v>
      </c>
      <c r="H848" s="186">
        <v>186.6</v>
      </c>
      <c r="I848" s="186">
        <v>25209</v>
      </c>
      <c r="J848" s="186">
        <v>1237.8</v>
      </c>
      <c r="K848" s="190">
        <v>1.3417999999999999E-2</v>
      </c>
    </row>
    <row r="849" spans="1:11" x14ac:dyDescent="0.2">
      <c r="A849" s="536">
        <v>4</v>
      </c>
      <c r="B849" s="539"/>
      <c r="C849" s="539"/>
      <c r="D849" s="539" t="s">
        <v>34</v>
      </c>
      <c r="E849" s="542">
        <f>Assumptions!D64</f>
        <v>1612.0500000000002</v>
      </c>
      <c r="F849" s="188" t="s">
        <v>305</v>
      </c>
      <c r="G849" s="191">
        <v>786</v>
      </c>
      <c r="H849" s="186">
        <v>68.7</v>
      </c>
      <c r="I849" s="186">
        <v>2485.8000000000002</v>
      </c>
      <c r="J849" s="186">
        <v>1952.9</v>
      </c>
      <c r="K849" s="190">
        <v>2.9139999999999999E-2</v>
      </c>
    </row>
    <row r="850" spans="1:11" x14ac:dyDescent="0.2">
      <c r="A850" s="537"/>
      <c r="B850" s="540"/>
      <c r="C850" s="540"/>
      <c r="D850" s="540"/>
      <c r="E850" s="543"/>
      <c r="F850" s="188" t="s">
        <v>306</v>
      </c>
      <c r="G850" s="191">
        <v>246</v>
      </c>
      <c r="H850" s="186">
        <v>54</v>
      </c>
      <c r="I850" s="186">
        <v>1420.7</v>
      </c>
      <c r="J850" s="186">
        <v>348.8</v>
      </c>
      <c r="K850" s="190">
        <v>5.6220000000000003E-3</v>
      </c>
    </row>
    <row r="851" spans="1:11" x14ac:dyDescent="0.2">
      <c r="A851" s="538"/>
      <c r="B851" s="541"/>
      <c r="C851" s="541"/>
      <c r="D851" s="541"/>
      <c r="E851" s="544"/>
      <c r="F851" s="188" t="s">
        <v>307</v>
      </c>
      <c r="G851" s="191">
        <v>2504</v>
      </c>
      <c r="H851" s="186">
        <v>55</v>
      </c>
      <c r="I851" s="186">
        <v>1481.3</v>
      </c>
      <c r="J851" s="186">
        <v>3709.3</v>
      </c>
      <c r="K851" s="190">
        <v>5.9445999999999999E-2</v>
      </c>
    </row>
    <row r="852" spans="1:11" ht="26" x14ac:dyDescent="0.2">
      <c r="A852" s="194">
        <v>5</v>
      </c>
      <c r="B852" s="195"/>
      <c r="C852" s="196"/>
      <c r="D852" s="196" t="s">
        <v>34</v>
      </c>
      <c r="E852" s="186">
        <f>Assumptions!D65</f>
        <v>353.58800000000002</v>
      </c>
      <c r="F852" s="188" t="s">
        <v>323</v>
      </c>
      <c r="G852" s="191">
        <v>0</v>
      </c>
      <c r="H852" s="186">
        <v>0</v>
      </c>
      <c r="I852" s="186">
        <v>0</v>
      </c>
      <c r="J852" s="186">
        <v>0</v>
      </c>
      <c r="K852" s="190">
        <v>0</v>
      </c>
    </row>
    <row r="853" spans="1:11" x14ac:dyDescent="0.2">
      <c r="A853" s="536">
        <v>6</v>
      </c>
      <c r="B853" s="539"/>
      <c r="C853" s="539"/>
      <c r="D853" s="539" t="s">
        <v>35</v>
      </c>
      <c r="E853" s="542">
        <f>Assumptions!D66</f>
        <v>4915.7929999999997</v>
      </c>
      <c r="F853" s="193" t="s">
        <v>178</v>
      </c>
      <c r="G853" s="191">
        <v>884</v>
      </c>
      <c r="H853" s="186">
        <v>86.6</v>
      </c>
      <c r="I853" s="186">
        <v>4253.3999999999996</v>
      </c>
      <c r="J853" s="186">
        <v>3759.2</v>
      </c>
      <c r="K853" s="190">
        <v>5.2087000000000001E-2</v>
      </c>
    </row>
    <row r="854" spans="1:11" x14ac:dyDescent="0.2">
      <c r="A854" s="537"/>
      <c r="B854" s="540"/>
      <c r="C854" s="540"/>
      <c r="D854" s="540"/>
      <c r="E854" s="543"/>
      <c r="F854" s="193" t="s">
        <v>179</v>
      </c>
      <c r="G854" s="191">
        <v>589</v>
      </c>
      <c r="H854" s="186">
        <v>73.7</v>
      </c>
      <c r="I854" s="186">
        <v>2917.4</v>
      </c>
      <c r="J854" s="186">
        <v>1718.9</v>
      </c>
      <c r="K854" s="190">
        <v>2.5089E-2</v>
      </c>
    </row>
    <row r="855" spans="1:11" x14ac:dyDescent="0.2">
      <c r="A855" s="537"/>
      <c r="B855" s="540"/>
      <c r="C855" s="540"/>
      <c r="D855" s="540"/>
      <c r="E855" s="543"/>
      <c r="F855" s="193" t="s">
        <v>175</v>
      </c>
      <c r="G855" s="191">
        <v>1473</v>
      </c>
      <c r="H855" s="186">
        <v>39.299999999999997</v>
      </c>
      <c r="I855" s="186">
        <v>678.6</v>
      </c>
      <c r="J855" s="186">
        <v>999.6</v>
      </c>
      <c r="K855" s="190">
        <v>1.7840999999999999E-2</v>
      </c>
    </row>
    <row r="856" spans="1:11" x14ac:dyDescent="0.2">
      <c r="A856" s="537"/>
      <c r="B856" s="540"/>
      <c r="C856" s="540"/>
      <c r="D856" s="540"/>
      <c r="E856" s="543"/>
      <c r="F856" s="193" t="s">
        <v>180</v>
      </c>
      <c r="G856" s="191">
        <v>98</v>
      </c>
      <c r="H856" s="186">
        <v>98.2</v>
      </c>
      <c r="I856" s="186">
        <v>5686.5</v>
      </c>
      <c r="J856" s="186">
        <v>558.4</v>
      </c>
      <c r="K856" s="190">
        <v>7.4339999999999996E-3</v>
      </c>
    </row>
    <row r="857" spans="1:11" x14ac:dyDescent="0.2">
      <c r="A857" s="538"/>
      <c r="B857" s="541"/>
      <c r="C857" s="541"/>
      <c r="D857" s="541"/>
      <c r="E857" s="544"/>
      <c r="F857" s="193" t="s">
        <v>181</v>
      </c>
      <c r="G857" s="191">
        <v>98</v>
      </c>
      <c r="H857" s="186">
        <v>157.1</v>
      </c>
      <c r="I857" s="186">
        <v>16920.2</v>
      </c>
      <c r="J857" s="186">
        <v>1661.6</v>
      </c>
      <c r="K857" s="190">
        <v>1.9029999999999998E-2</v>
      </c>
    </row>
    <row r="858" spans="1:11" ht="26" x14ac:dyDescent="0.2">
      <c r="A858" s="194">
        <v>7</v>
      </c>
      <c r="B858" s="195"/>
      <c r="C858" s="196"/>
      <c r="D858" s="196" t="s">
        <v>34</v>
      </c>
      <c r="E858" s="186">
        <f>Assumptions!D67</f>
        <v>2549.9479999999994</v>
      </c>
      <c r="F858" s="188" t="s">
        <v>323</v>
      </c>
      <c r="G858" s="191">
        <v>0</v>
      </c>
      <c r="H858" s="186">
        <v>0</v>
      </c>
      <c r="I858" s="186">
        <v>0</v>
      </c>
      <c r="J858" s="186">
        <v>0</v>
      </c>
      <c r="K858" s="190">
        <v>0</v>
      </c>
    </row>
    <row r="859" spans="1:11" x14ac:dyDescent="0.2">
      <c r="A859" s="194">
        <v>8</v>
      </c>
      <c r="B859" s="195"/>
      <c r="C859" s="196"/>
      <c r="D859" s="196" t="s">
        <v>36</v>
      </c>
      <c r="E859" s="186">
        <f>Assumptions!D68</f>
        <v>741.26900000000001</v>
      </c>
      <c r="F859" s="188" t="s">
        <v>323</v>
      </c>
      <c r="G859" s="191">
        <v>0</v>
      </c>
      <c r="H859" s="186">
        <v>0</v>
      </c>
      <c r="I859" s="186">
        <v>0</v>
      </c>
      <c r="J859" s="186">
        <v>0</v>
      </c>
      <c r="K859" s="190">
        <v>0</v>
      </c>
    </row>
    <row r="860" spans="1:11" x14ac:dyDescent="0.2">
      <c r="A860" s="536">
        <v>9</v>
      </c>
      <c r="B860" s="539"/>
      <c r="C860" s="539"/>
      <c r="D860" s="539" t="s">
        <v>35</v>
      </c>
      <c r="E860" s="542">
        <f>Assumptions!D69</f>
        <v>8643.7000000000025</v>
      </c>
      <c r="F860" s="193" t="s">
        <v>173</v>
      </c>
      <c r="G860" s="191">
        <v>344</v>
      </c>
      <c r="H860" s="186">
        <v>67.3</v>
      </c>
      <c r="I860" s="186">
        <v>2369.6999999999998</v>
      </c>
      <c r="J860" s="186">
        <v>814.5</v>
      </c>
      <c r="K860" s="190">
        <v>1.2234E-2</v>
      </c>
    </row>
    <row r="861" spans="1:11" x14ac:dyDescent="0.2">
      <c r="A861" s="537"/>
      <c r="B861" s="540"/>
      <c r="C861" s="540"/>
      <c r="D861" s="540"/>
      <c r="E861" s="543"/>
      <c r="F861" s="193" t="s">
        <v>182</v>
      </c>
      <c r="G861" s="191">
        <v>344</v>
      </c>
      <c r="H861" s="186">
        <v>245.5</v>
      </c>
      <c r="I861" s="186">
        <v>47650.5</v>
      </c>
      <c r="J861" s="186">
        <v>16377.5</v>
      </c>
      <c r="K861" s="190">
        <v>0.16261200000000001</v>
      </c>
    </row>
    <row r="862" spans="1:11" x14ac:dyDescent="0.2">
      <c r="A862" s="537"/>
      <c r="B862" s="540"/>
      <c r="C862" s="540"/>
      <c r="D862" s="540"/>
      <c r="E862" s="543"/>
      <c r="F862" s="193" t="s">
        <v>172</v>
      </c>
      <c r="G862" s="191">
        <v>344</v>
      </c>
      <c r="H862" s="186">
        <v>190.8</v>
      </c>
      <c r="I862" s="186">
        <v>26547.9</v>
      </c>
      <c r="J862" s="186">
        <v>9124.5</v>
      </c>
      <c r="K862" s="190">
        <v>9.8210000000000006E-2</v>
      </c>
    </row>
    <row r="863" spans="1:11" x14ac:dyDescent="0.2">
      <c r="A863" s="537"/>
      <c r="B863" s="540"/>
      <c r="C863" s="540"/>
      <c r="D863" s="540"/>
      <c r="E863" s="543"/>
      <c r="F863" s="193" t="s">
        <v>183</v>
      </c>
      <c r="G863" s="191">
        <v>196</v>
      </c>
      <c r="H863" s="186">
        <v>63.8</v>
      </c>
      <c r="I863" s="186">
        <v>2093.1999999999998</v>
      </c>
      <c r="J863" s="186">
        <v>411.1</v>
      </c>
      <c r="K863" s="190">
        <v>6.2810000000000001E-3</v>
      </c>
    </row>
    <row r="864" spans="1:11" x14ac:dyDescent="0.2">
      <c r="A864" s="537"/>
      <c r="B864" s="540"/>
      <c r="C864" s="540"/>
      <c r="D864" s="540"/>
      <c r="E864" s="543"/>
      <c r="F864" s="193" t="s">
        <v>184</v>
      </c>
      <c r="G864" s="191">
        <v>98</v>
      </c>
      <c r="H864" s="186">
        <v>206.2</v>
      </c>
      <c r="I864" s="186">
        <v>31797.7</v>
      </c>
      <c r="J864" s="186">
        <v>3122.5</v>
      </c>
      <c r="K864" s="190">
        <v>3.2783E-2</v>
      </c>
    </row>
    <row r="865" spans="1:11" x14ac:dyDescent="0.2">
      <c r="A865" s="537"/>
      <c r="B865" s="540"/>
      <c r="C865" s="540"/>
      <c r="D865" s="540"/>
      <c r="E865" s="543"/>
      <c r="F865" s="193" t="s">
        <v>185</v>
      </c>
      <c r="G865" s="191">
        <v>49</v>
      </c>
      <c r="H865" s="186">
        <v>58.9</v>
      </c>
      <c r="I865" s="186">
        <v>1738.4</v>
      </c>
      <c r="J865" s="186">
        <v>85.4</v>
      </c>
      <c r="K865" s="190">
        <v>1.338E-3</v>
      </c>
    </row>
    <row r="866" spans="1:11" x14ac:dyDescent="0.2">
      <c r="A866" s="537"/>
      <c r="B866" s="540"/>
      <c r="C866" s="540"/>
      <c r="D866" s="540"/>
      <c r="E866" s="543"/>
      <c r="F866" s="193" t="s">
        <v>186</v>
      </c>
      <c r="G866" s="191">
        <v>147</v>
      </c>
      <c r="H866" s="186">
        <v>140.80000000000001</v>
      </c>
      <c r="I866" s="186">
        <v>13109.1</v>
      </c>
      <c r="J866" s="186">
        <v>1931</v>
      </c>
      <c r="K866" s="190">
        <v>2.2908000000000001E-2</v>
      </c>
    </row>
    <row r="867" spans="1:11" x14ac:dyDescent="0.2">
      <c r="A867" s="537"/>
      <c r="B867" s="540"/>
      <c r="C867" s="540"/>
      <c r="D867" s="540"/>
      <c r="E867" s="543"/>
      <c r="F867" s="193" t="s">
        <v>171</v>
      </c>
      <c r="G867" s="191">
        <v>196</v>
      </c>
      <c r="H867" s="186">
        <v>348.6</v>
      </c>
      <c r="I867" s="186">
        <v>107492.1</v>
      </c>
      <c r="J867" s="186">
        <v>21111.5</v>
      </c>
      <c r="K867" s="190">
        <v>0.187366</v>
      </c>
    </row>
    <row r="868" spans="1:11" x14ac:dyDescent="0.2">
      <c r="A868" s="537"/>
      <c r="B868" s="540"/>
      <c r="C868" s="540"/>
      <c r="D868" s="540"/>
      <c r="E868" s="543"/>
      <c r="F868" s="193" t="s">
        <v>187</v>
      </c>
      <c r="G868" s="191">
        <v>49</v>
      </c>
      <c r="H868" s="186">
        <v>294.60000000000002</v>
      </c>
      <c r="I868" s="186">
        <v>72739.100000000006</v>
      </c>
      <c r="J868" s="186">
        <v>3571.5</v>
      </c>
      <c r="K868" s="190">
        <v>3.3452000000000003E-2</v>
      </c>
    </row>
    <row r="869" spans="1:11" x14ac:dyDescent="0.2">
      <c r="A869" s="538"/>
      <c r="B869" s="541"/>
      <c r="C869" s="541"/>
      <c r="D869" s="541"/>
      <c r="E869" s="544"/>
      <c r="F869" s="193" t="s">
        <v>188</v>
      </c>
      <c r="G869" s="191">
        <v>196</v>
      </c>
      <c r="H869" s="186">
        <v>240.6</v>
      </c>
      <c r="I869" s="186">
        <v>45468.7</v>
      </c>
      <c r="J869" s="186">
        <v>8930</v>
      </c>
      <c r="K869" s="190">
        <v>8.9241000000000001E-2</v>
      </c>
    </row>
    <row r="870" spans="1:11" x14ac:dyDescent="0.2">
      <c r="A870" s="536">
        <v>10</v>
      </c>
      <c r="B870" s="539"/>
      <c r="C870" s="539"/>
      <c r="D870" s="539" t="s">
        <v>35</v>
      </c>
      <c r="E870" s="542">
        <f>Assumptions!D70</f>
        <v>2860.4270000000001</v>
      </c>
      <c r="F870" s="193" t="s">
        <v>189</v>
      </c>
      <c r="G870" s="191">
        <v>98</v>
      </c>
      <c r="H870" s="186">
        <v>78.599999999999994</v>
      </c>
      <c r="I870" s="186">
        <v>3388.6</v>
      </c>
      <c r="J870" s="186">
        <v>332.8</v>
      </c>
      <c r="K870" s="190">
        <v>4.7580000000000001E-3</v>
      </c>
    </row>
    <row r="871" spans="1:11" x14ac:dyDescent="0.2">
      <c r="A871" s="537"/>
      <c r="B871" s="540"/>
      <c r="C871" s="540"/>
      <c r="D871" s="540"/>
      <c r="E871" s="543"/>
      <c r="F871" s="193" t="s">
        <v>190</v>
      </c>
      <c r="G871" s="191">
        <v>786</v>
      </c>
      <c r="H871" s="186">
        <v>68.7</v>
      </c>
      <c r="I871" s="186">
        <v>2485.8000000000002</v>
      </c>
      <c r="J871" s="186">
        <v>1952.9</v>
      </c>
      <c r="K871" s="190">
        <v>2.9139999999999999E-2</v>
      </c>
    </row>
    <row r="872" spans="1:11" x14ac:dyDescent="0.2">
      <c r="A872" s="537"/>
      <c r="B872" s="540"/>
      <c r="C872" s="540"/>
      <c r="D872" s="540"/>
      <c r="E872" s="543"/>
      <c r="F872" s="193" t="s">
        <v>191</v>
      </c>
      <c r="G872" s="191">
        <v>98</v>
      </c>
      <c r="H872" s="186">
        <v>58.9</v>
      </c>
      <c r="I872" s="186">
        <v>1738.4</v>
      </c>
      <c r="J872" s="186">
        <v>170.7</v>
      </c>
      <c r="K872" s="190">
        <v>2.676E-3</v>
      </c>
    </row>
    <row r="873" spans="1:11" x14ac:dyDescent="0.2">
      <c r="A873" s="537"/>
      <c r="B873" s="540"/>
      <c r="C873" s="540"/>
      <c r="D873" s="540"/>
      <c r="E873" s="543"/>
      <c r="F873" s="193" t="s">
        <v>171</v>
      </c>
      <c r="G873" s="191">
        <v>393</v>
      </c>
      <c r="H873" s="186">
        <v>103.1</v>
      </c>
      <c r="I873" s="186">
        <v>6368</v>
      </c>
      <c r="J873" s="186">
        <v>2501.4</v>
      </c>
      <c r="K873" s="190">
        <v>3.2783E-2</v>
      </c>
    </row>
    <row r="874" spans="1:11" x14ac:dyDescent="0.2">
      <c r="A874" s="538"/>
      <c r="B874" s="541"/>
      <c r="C874" s="541"/>
      <c r="D874" s="541"/>
      <c r="E874" s="544"/>
      <c r="F874" s="193" t="s">
        <v>188</v>
      </c>
      <c r="G874" s="191">
        <v>98</v>
      </c>
      <c r="H874" s="186">
        <v>176.8</v>
      </c>
      <c r="I874" s="186">
        <v>22237.1</v>
      </c>
      <c r="J874" s="186">
        <v>2183.6999999999998</v>
      </c>
      <c r="K874" s="190">
        <v>2.4084999999999999E-2</v>
      </c>
    </row>
    <row r="875" spans="1:11" x14ac:dyDescent="0.2">
      <c r="A875" s="536">
        <v>11</v>
      </c>
      <c r="B875" s="539"/>
      <c r="C875" s="539"/>
      <c r="D875" s="539" t="s">
        <v>35</v>
      </c>
      <c r="E875" s="542">
        <f>Assumptions!D71</f>
        <v>9034.3230000000021</v>
      </c>
      <c r="F875" s="195" t="s">
        <v>192</v>
      </c>
      <c r="G875" s="191">
        <v>737</v>
      </c>
      <c r="H875" s="186">
        <v>82.7</v>
      </c>
      <c r="I875" s="186">
        <v>3812.2</v>
      </c>
      <c r="J875" s="186">
        <v>2807.7</v>
      </c>
      <c r="K875" s="190">
        <v>3.9495000000000002E-2</v>
      </c>
    </row>
    <row r="876" spans="1:11" x14ac:dyDescent="0.2">
      <c r="A876" s="537"/>
      <c r="B876" s="540"/>
      <c r="C876" s="540"/>
      <c r="D876" s="540"/>
      <c r="E876" s="543"/>
      <c r="F876" s="195" t="s">
        <v>193</v>
      </c>
      <c r="G876" s="191">
        <v>368</v>
      </c>
      <c r="H876" s="186">
        <v>45.8</v>
      </c>
      <c r="I876" s="186">
        <v>970.4</v>
      </c>
      <c r="J876" s="186">
        <v>357.3</v>
      </c>
      <c r="K876" s="190">
        <v>6.071E-3</v>
      </c>
    </row>
    <row r="877" spans="1:11" x14ac:dyDescent="0.2">
      <c r="A877" s="537"/>
      <c r="B877" s="540"/>
      <c r="C877" s="540"/>
      <c r="D877" s="540"/>
      <c r="E877" s="543"/>
      <c r="F877" s="195" t="s">
        <v>190</v>
      </c>
      <c r="G877" s="191">
        <v>368</v>
      </c>
      <c r="H877" s="186">
        <v>127.7</v>
      </c>
      <c r="I877" s="186">
        <v>10451.9</v>
      </c>
      <c r="J877" s="186">
        <v>3848.9</v>
      </c>
      <c r="K877" s="190">
        <v>4.7111E-2</v>
      </c>
    </row>
    <row r="878" spans="1:11" x14ac:dyDescent="0.2">
      <c r="A878" s="537"/>
      <c r="B878" s="540"/>
      <c r="C878" s="540"/>
      <c r="D878" s="540"/>
      <c r="E878" s="543"/>
      <c r="F878" s="195" t="s">
        <v>186</v>
      </c>
      <c r="G878" s="191">
        <v>368</v>
      </c>
      <c r="H878" s="186">
        <v>65.5</v>
      </c>
      <c r="I878" s="186">
        <v>2219.8000000000002</v>
      </c>
      <c r="J878" s="186">
        <v>817.4</v>
      </c>
      <c r="K878" s="190">
        <v>1.2389000000000001E-2</v>
      </c>
    </row>
    <row r="879" spans="1:11" x14ac:dyDescent="0.2">
      <c r="A879" s="537"/>
      <c r="B879" s="540"/>
      <c r="C879" s="540"/>
      <c r="D879" s="540"/>
      <c r="E879" s="543"/>
      <c r="F879" s="195" t="s">
        <v>194</v>
      </c>
      <c r="G879" s="191">
        <v>1105</v>
      </c>
      <c r="H879" s="186">
        <v>156</v>
      </c>
      <c r="I879" s="186">
        <v>16648.8</v>
      </c>
      <c r="J879" s="186">
        <v>18392.8</v>
      </c>
      <c r="K879" s="190">
        <v>0.21112700000000001</v>
      </c>
    </row>
    <row r="880" spans="1:11" x14ac:dyDescent="0.2">
      <c r="A880" s="537"/>
      <c r="B880" s="540"/>
      <c r="C880" s="540"/>
      <c r="D880" s="540"/>
      <c r="E880" s="543"/>
      <c r="F880" s="195" t="s">
        <v>195</v>
      </c>
      <c r="G880" s="191">
        <v>123</v>
      </c>
      <c r="H880" s="186">
        <v>49.1</v>
      </c>
      <c r="I880" s="186">
        <v>1138.8</v>
      </c>
      <c r="J880" s="186">
        <v>139.80000000000001</v>
      </c>
      <c r="K880" s="190">
        <v>2.323E-3</v>
      </c>
    </row>
    <row r="881" spans="1:11" x14ac:dyDescent="0.2">
      <c r="A881" s="537"/>
      <c r="B881" s="540"/>
      <c r="C881" s="540"/>
      <c r="D881" s="540"/>
      <c r="E881" s="543"/>
      <c r="F881" s="195" t="s">
        <v>196</v>
      </c>
      <c r="G881" s="191">
        <v>123</v>
      </c>
      <c r="H881" s="186">
        <v>147.30000000000001</v>
      </c>
      <c r="I881" s="186">
        <v>14567.3</v>
      </c>
      <c r="J881" s="186">
        <v>1788.1</v>
      </c>
      <c r="K881" s="190">
        <v>2.0906999999999999E-2</v>
      </c>
    </row>
    <row r="882" spans="1:11" x14ac:dyDescent="0.2">
      <c r="A882" s="537"/>
      <c r="B882" s="540"/>
      <c r="C882" s="540"/>
      <c r="D882" s="540"/>
      <c r="E882" s="543"/>
      <c r="F882" s="195" t="s">
        <v>197</v>
      </c>
      <c r="G882" s="191">
        <v>123</v>
      </c>
      <c r="H882" s="186">
        <v>98.2</v>
      </c>
      <c r="I882" s="186">
        <v>5686.5</v>
      </c>
      <c r="J882" s="186">
        <v>698</v>
      </c>
      <c r="K882" s="190">
        <v>9.2919999999999999E-3</v>
      </c>
    </row>
    <row r="883" spans="1:11" x14ac:dyDescent="0.2">
      <c r="A883" s="537"/>
      <c r="B883" s="540"/>
      <c r="C883" s="540"/>
      <c r="D883" s="540"/>
      <c r="E883" s="543"/>
      <c r="F883" s="193" t="s">
        <v>182</v>
      </c>
      <c r="G883" s="191">
        <v>332</v>
      </c>
      <c r="H883" s="186">
        <v>275</v>
      </c>
      <c r="I883" s="186">
        <v>61980.3</v>
      </c>
      <c r="J883" s="186">
        <v>20572.2</v>
      </c>
      <c r="K883" s="190">
        <v>0.196987</v>
      </c>
    </row>
    <row r="884" spans="1:11" x14ac:dyDescent="0.2">
      <c r="A884" s="537"/>
      <c r="B884" s="540"/>
      <c r="C884" s="540"/>
      <c r="D884" s="540"/>
      <c r="E884" s="543"/>
      <c r="F884" s="193" t="s">
        <v>187</v>
      </c>
      <c r="G884" s="191">
        <v>123</v>
      </c>
      <c r="H884" s="186">
        <v>589.20000000000005</v>
      </c>
      <c r="I884" s="186">
        <v>363210</v>
      </c>
      <c r="J884" s="186">
        <v>44584</v>
      </c>
      <c r="K884" s="190">
        <v>0.33451599999999998</v>
      </c>
    </row>
    <row r="885" spans="1:11" x14ac:dyDescent="0.2">
      <c r="A885" s="537"/>
      <c r="B885" s="540"/>
      <c r="C885" s="540"/>
      <c r="D885" s="540"/>
      <c r="E885" s="543"/>
      <c r="F885" s="195" t="s">
        <v>198</v>
      </c>
      <c r="G885" s="191">
        <v>49</v>
      </c>
      <c r="H885" s="186">
        <v>196.4</v>
      </c>
      <c r="I885" s="186">
        <v>28394.6</v>
      </c>
      <c r="J885" s="186">
        <v>1394.2</v>
      </c>
      <c r="K885" s="190">
        <v>1.4867E-2</v>
      </c>
    </row>
    <row r="886" spans="1:11" x14ac:dyDescent="0.2">
      <c r="A886" s="537"/>
      <c r="B886" s="540"/>
      <c r="C886" s="540"/>
      <c r="D886" s="540"/>
      <c r="E886" s="543"/>
      <c r="F886" s="195" t="s">
        <v>173</v>
      </c>
      <c r="G886" s="191">
        <v>49</v>
      </c>
      <c r="H886" s="186">
        <v>58.9</v>
      </c>
      <c r="I886" s="186">
        <v>1738.4</v>
      </c>
      <c r="J886" s="186">
        <v>85.4</v>
      </c>
      <c r="K886" s="190">
        <v>1.338E-3</v>
      </c>
    </row>
    <row r="887" spans="1:11" x14ac:dyDescent="0.2">
      <c r="A887" s="537"/>
      <c r="B887" s="540"/>
      <c r="C887" s="540"/>
      <c r="D887" s="540"/>
      <c r="E887" s="543"/>
      <c r="F887" s="195" t="s">
        <v>199</v>
      </c>
      <c r="G887" s="191">
        <v>196</v>
      </c>
      <c r="H887" s="186">
        <v>142.4</v>
      </c>
      <c r="I887" s="186">
        <v>13465.4</v>
      </c>
      <c r="J887" s="186">
        <v>2644.6</v>
      </c>
      <c r="K887" s="190">
        <v>3.1259000000000002E-2</v>
      </c>
    </row>
    <row r="888" spans="1:11" x14ac:dyDescent="0.2">
      <c r="A888" s="538"/>
      <c r="B888" s="541"/>
      <c r="C888" s="541"/>
      <c r="D888" s="541"/>
      <c r="E888" s="544"/>
      <c r="F888" s="195" t="s">
        <v>172</v>
      </c>
      <c r="G888" s="191">
        <v>85</v>
      </c>
      <c r="H888" s="186">
        <v>662.9</v>
      </c>
      <c r="I888" s="186">
        <v>477344.2</v>
      </c>
      <c r="J888" s="186">
        <v>40574.300000000003</v>
      </c>
      <c r="K888" s="190">
        <v>0.29316999999999999</v>
      </c>
    </row>
    <row r="889" spans="1:11" x14ac:dyDescent="0.2">
      <c r="A889" s="194">
        <v>12</v>
      </c>
      <c r="B889" s="197"/>
      <c r="C889" s="197"/>
      <c r="D889" s="197" t="s">
        <v>37</v>
      </c>
      <c r="E889" s="483">
        <f>Assumptions!D72</f>
        <v>2315.3180000000002</v>
      </c>
      <c r="F889" s="195" t="s">
        <v>323</v>
      </c>
      <c r="G889" s="191">
        <v>0</v>
      </c>
      <c r="H889" s="186">
        <v>0</v>
      </c>
      <c r="I889" s="186">
        <v>0</v>
      </c>
      <c r="J889" s="186">
        <v>0</v>
      </c>
      <c r="K889" s="190">
        <v>0</v>
      </c>
    </row>
    <row r="890" spans="1:11" x14ac:dyDescent="0.2">
      <c r="A890" s="536">
        <v>13</v>
      </c>
      <c r="B890" s="539"/>
      <c r="C890" s="539"/>
      <c r="D890" s="539" t="s">
        <v>35</v>
      </c>
      <c r="E890" s="542">
        <f>Assumptions!D73</f>
        <v>5717.201</v>
      </c>
      <c r="F890" s="193" t="s">
        <v>188</v>
      </c>
      <c r="G890" s="191">
        <v>49</v>
      </c>
      <c r="H890" s="186">
        <v>186.6</v>
      </c>
      <c r="I890" s="186">
        <v>25209</v>
      </c>
      <c r="J890" s="186">
        <v>1237.8</v>
      </c>
      <c r="K890" s="190">
        <v>1.3417999999999999E-2</v>
      </c>
    </row>
    <row r="891" spans="1:11" x14ac:dyDescent="0.2">
      <c r="A891" s="537"/>
      <c r="B891" s="540"/>
      <c r="C891" s="540"/>
      <c r="D891" s="540"/>
      <c r="E891" s="543"/>
      <c r="F891" s="193" t="s">
        <v>182</v>
      </c>
      <c r="G891" s="191">
        <v>49</v>
      </c>
      <c r="H891" s="186">
        <v>196.4</v>
      </c>
      <c r="I891" s="186">
        <v>28394.6</v>
      </c>
      <c r="J891" s="186">
        <v>1394.2</v>
      </c>
      <c r="K891" s="190">
        <v>1.4867E-2</v>
      </c>
    </row>
    <row r="892" spans="1:11" x14ac:dyDescent="0.2">
      <c r="A892" s="537"/>
      <c r="B892" s="540"/>
      <c r="C892" s="540"/>
      <c r="D892" s="540"/>
      <c r="E892" s="543"/>
      <c r="F892" s="193" t="s">
        <v>171</v>
      </c>
      <c r="G892" s="191">
        <v>147</v>
      </c>
      <c r="H892" s="186">
        <v>307.7</v>
      </c>
      <c r="I892" s="186">
        <v>80460.399999999994</v>
      </c>
      <c r="J892" s="186">
        <v>11851.8</v>
      </c>
      <c r="K892" s="190">
        <v>0.109473</v>
      </c>
    </row>
    <row r="893" spans="1:11" x14ac:dyDescent="0.2">
      <c r="A893" s="538"/>
      <c r="B893" s="541"/>
      <c r="C893" s="541"/>
      <c r="D893" s="541"/>
      <c r="E893" s="544"/>
      <c r="F893" s="193" t="s">
        <v>172</v>
      </c>
      <c r="G893" s="191">
        <v>589</v>
      </c>
      <c r="H893" s="186">
        <v>280.7</v>
      </c>
      <c r="I893" s="186">
        <v>65017.3</v>
      </c>
      <c r="J893" s="186">
        <v>38308.199999999997</v>
      </c>
      <c r="K893" s="190">
        <v>0.364402</v>
      </c>
    </row>
    <row r="894" spans="1:11" x14ac:dyDescent="0.2">
      <c r="A894" s="536">
        <v>14</v>
      </c>
      <c r="B894" s="539"/>
      <c r="C894" s="539"/>
      <c r="D894" s="539" t="s">
        <v>35</v>
      </c>
      <c r="E894" s="542">
        <f>Assumptions!D74</f>
        <v>3768.0449999999996</v>
      </c>
      <c r="F894" s="193" t="s">
        <v>201</v>
      </c>
      <c r="G894" s="191">
        <v>98</v>
      </c>
      <c r="H894" s="186">
        <v>98.2</v>
      </c>
      <c r="I894" s="186">
        <v>5686.5</v>
      </c>
      <c r="J894" s="186">
        <v>558.4</v>
      </c>
      <c r="K894" s="190">
        <v>7.4339999999999996E-3</v>
      </c>
    </row>
    <row r="895" spans="1:11" x14ac:dyDescent="0.2">
      <c r="A895" s="537"/>
      <c r="B895" s="540"/>
      <c r="C895" s="540"/>
      <c r="D895" s="540"/>
      <c r="E895" s="543"/>
      <c r="F895" s="193" t="s">
        <v>200</v>
      </c>
      <c r="G895" s="191">
        <v>1571</v>
      </c>
      <c r="H895" s="186">
        <v>69.400000000000006</v>
      </c>
      <c r="I895" s="186">
        <v>2537.6</v>
      </c>
      <c r="J895" s="186">
        <v>3987.1</v>
      </c>
      <c r="K895" s="190">
        <v>5.9325000000000003E-2</v>
      </c>
    </row>
    <row r="896" spans="1:11" x14ac:dyDescent="0.2">
      <c r="A896" s="538"/>
      <c r="B896" s="541"/>
      <c r="C896" s="541"/>
      <c r="D896" s="541"/>
      <c r="E896" s="544"/>
      <c r="F896" s="193" t="s">
        <v>171</v>
      </c>
      <c r="G896" s="191">
        <v>393</v>
      </c>
      <c r="H896" s="186">
        <v>122.8</v>
      </c>
      <c r="I896" s="186">
        <v>9542.7999999999993</v>
      </c>
      <c r="J896" s="186">
        <v>3748.4</v>
      </c>
      <c r="K896" s="190">
        <v>4.6461000000000002E-2</v>
      </c>
    </row>
    <row r="897" spans="1:11" ht="33" customHeight="1" x14ac:dyDescent="0.2">
      <c r="A897" s="536">
        <v>15</v>
      </c>
      <c r="B897" s="539"/>
      <c r="C897" s="539"/>
      <c r="D897" s="539" t="s">
        <v>34</v>
      </c>
      <c r="E897" s="542">
        <f>Assumptions!D75</f>
        <v>236.66199999999998</v>
      </c>
      <c r="F897" s="193" t="s">
        <v>292</v>
      </c>
      <c r="G897" s="191">
        <v>54</v>
      </c>
      <c r="H897" s="186">
        <v>78.599999999999994</v>
      </c>
      <c r="I897" s="186">
        <v>3388.6</v>
      </c>
      <c r="J897" s="186">
        <v>183</v>
      </c>
      <c r="K897" s="190">
        <v>2.617E-3</v>
      </c>
    </row>
    <row r="898" spans="1:11" x14ac:dyDescent="0.2">
      <c r="A898" s="538"/>
      <c r="B898" s="541"/>
      <c r="C898" s="541"/>
      <c r="D898" s="541"/>
      <c r="E898" s="544"/>
      <c r="F898" s="193" t="s">
        <v>293</v>
      </c>
      <c r="G898" s="191">
        <v>130</v>
      </c>
      <c r="H898" s="186">
        <v>306.39999999999998</v>
      </c>
      <c r="I898" s="186">
        <v>79668.3</v>
      </c>
      <c r="J898" s="186">
        <v>10326.9</v>
      </c>
      <c r="K898" s="190">
        <v>9.5518000000000006E-2</v>
      </c>
    </row>
    <row r="899" spans="1:11" x14ac:dyDescent="0.2">
      <c r="A899" s="194">
        <v>16</v>
      </c>
      <c r="B899" s="195"/>
      <c r="C899" s="195"/>
      <c r="D899" s="195" t="s">
        <v>35</v>
      </c>
      <c r="E899" s="186">
        <f>Assumptions!D76</f>
        <v>6640.8160000000016</v>
      </c>
      <c r="F899" s="193" t="s">
        <v>323</v>
      </c>
      <c r="G899" s="191">
        <v>0</v>
      </c>
      <c r="H899" s="186">
        <v>0</v>
      </c>
      <c r="I899" s="185">
        <v>0</v>
      </c>
      <c r="J899" s="185">
        <v>0</v>
      </c>
      <c r="K899" s="190">
        <v>0</v>
      </c>
    </row>
    <row r="900" spans="1:11" x14ac:dyDescent="0.2">
      <c r="A900" s="194">
        <v>17</v>
      </c>
      <c r="B900" s="197"/>
      <c r="C900" s="197"/>
      <c r="D900" s="197" t="s">
        <v>36</v>
      </c>
      <c r="E900" s="483">
        <f>Assumptions!D77</f>
        <v>837.08299999999997</v>
      </c>
      <c r="F900" s="193" t="s">
        <v>323</v>
      </c>
      <c r="G900" s="191">
        <v>0</v>
      </c>
      <c r="H900" s="186">
        <v>0</v>
      </c>
      <c r="I900" s="185">
        <v>0</v>
      </c>
      <c r="J900" s="185">
        <v>0</v>
      </c>
      <c r="K900" s="190">
        <v>0</v>
      </c>
    </row>
    <row r="901" spans="1:11" x14ac:dyDescent="0.2">
      <c r="A901" s="536">
        <v>18</v>
      </c>
      <c r="B901" s="539"/>
      <c r="C901" s="539"/>
      <c r="D901" s="539" t="s">
        <v>34</v>
      </c>
      <c r="E901" s="542">
        <f>Assumptions!D78</f>
        <v>1849.3409999999997</v>
      </c>
      <c r="F901" s="188" t="s">
        <v>308</v>
      </c>
      <c r="G901" s="192">
        <v>982</v>
      </c>
      <c r="H901" s="186">
        <v>64.8</v>
      </c>
      <c r="I901" s="186">
        <v>2168.6</v>
      </c>
      <c r="J901" s="186">
        <v>2129.6</v>
      </c>
      <c r="K901" s="190">
        <v>3.2381E-2</v>
      </c>
    </row>
    <row r="902" spans="1:11" x14ac:dyDescent="0.2">
      <c r="A902" s="537"/>
      <c r="B902" s="540"/>
      <c r="C902" s="540"/>
      <c r="D902" s="540"/>
      <c r="E902" s="543"/>
      <c r="F902" s="188" t="s">
        <v>309</v>
      </c>
      <c r="G902" s="192">
        <v>246</v>
      </c>
      <c r="H902" s="186">
        <v>74.599999999999994</v>
      </c>
      <c r="I902" s="186">
        <v>3008.4</v>
      </c>
      <c r="J902" s="186">
        <v>738.6</v>
      </c>
      <c r="K902" s="190">
        <v>1.0734E-2</v>
      </c>
    </row>
    <row r="903" spans="1:11" x14ac:dyDescent="0.2">
      <c r="A903" s="537"/>
      <c r="B903" s="540"/>
      <c r="C903" s="540"/>
      <c r="D903" s="540"/>
      <c r="E903" s="543"/>
      <c r="F903" s="188" t="s">
        <v>310</v>
      </c>
      <c r="G903" s="192">
        <v>49</v>
      </c>
      <c r="H903" s="186">
        <v>78.599999999999994</v>
      </c>
      <c r="I903" s="186">
        <v>3388.6</v>
      </c>
      <c r="J903" s="186">
        <v>166.4</v>
      </c>
      <c r="K903" s="190">
        <v>2.379E-3</v>
      </c>
    </row>
    <row r="904" spans="1:11" x14ac:dyDescent="0.2">
      <c r="A904" s="537"/>
      <c r="B904" s="540"/>
      <c r="C904" s="540"/>
      <c r="D904" s="540"/>
      <c r="E904" s="543"/>
      <c r="F904" s="188" t="s">
        <v>185</v>
      </c>
      <c r="G904" s="192">
        <v>49</v>
      </c>
      <c r="H904" s="186">
        <v>98.2</v>
      </c>
      <c r="I904" s="186">
        <v>5686.5</v>
      </c>
      <c r="J904" s="186">
        <v>279.2</v>
      </c>
      <c r="K904" s="190">
        <v>3.7169999999999998E-3</v>
      </c>
    </row>
    <row r="905" spans="1:11" x14ac:dyDescent="0.2">
      <c r="A905" s="537"/>
      <c r="B905" s="540"/>
      <c r="C905" s="540"/>
      <c r="D905" s="540"/>
      <c r="E905" s="543"/>
      <c r="F905" s="188" t="s">
        <v>311</v>
      </c>
      <c r="G905" s="192">
        <v>246</v>
      </c>
      <c r="H905" s="186">
        <v>68.7</v>
      </c>
      <c r="I905" s="186">
        <v>2485.8000000000002</v>
      </c>
      <c r="J905" s="186">
        <v>610.29999999999995</v>
      </c>
      <c r="K905" s="190">
        <v>9.1059999999999995E-3</v>
      </c>
    </row>
    <row r="906" spans="1:11" x14ac:dyDescent="0.2">
      <c r="A906" s="537"/>
      <c r="B906" s="540"/>
      <c r="C906" s="540"/>
      <c r="D906" s="540"/>
      <c r="E906" s="543"/>
      <c r="F906" s="188" t="s">
        <v>295</v>
      </c>
      <c r="G906" s="192">
        <v>98</v>
      </c>
      <c r="H906" s="186">
        <v>83.5</v>
      </c>
      <c r="I906" s="186">
        <v>3900.3</v>
      </c>
      <c r="J906" s="186">
        <v>383</v>
      </c>
      <c r="K906" s="190">
        <v>5.3709999999999999E-3</v>
      </c>
    </row>
    <row r="907" spans="1:11" x14ac:dyDescent="0.2">
      <c r="A907" s="537"/>
      <c r="B907" s="540"/>
      <c r="C907" s="540"/>
      <c r="D907" s="540"/>
      <c r="E907" s="543"/>
      <c r="F907" s="188" t="s">
        <v>312</v>
      </c>
      <c r="G907" s="192">
        <v>982</v>
      </c>
      <c r="H907" s="186">
        <v>78.599999999999994</v>
      </c>
      <c r="I907" s="186">
        <v>3388.6</v>
      </c>
      <c r="J907" s="186">
        <v>3327.6</v>
      </c>
      <c r="K907" s="190">
        <v>4.7576E-2</v>
      </c>
    </row>
    <row r="908" spans="1:11" x14ac:dyDescent="0.2">
      <c r="A908" s="537"/>
      <c r="B908" s="540"/>
      <c r="C908" s="540"/>
      <c r="D908" s="540"/>
      <c r="E908" s="543"/>
      <c r="F908" s="188" t="s">
        <v>313</v>
      </c>
      <c r="G908" s="192">
        <v>246</v>
      </c>
      <c r="H908" s="186">
        <v>186.6</v>
      </c>
      <c r="I908" s="186">
        <v>25209</v>
      </c>
      <c r="J908" s="186">
        <v>6188.8</v>
      </c>
      <c r="K908" s="190">
        <v>6.7088999999999996E-2</v>
      </c>
    </row>
    <row r="909" spans="1:11" x14ac:dyDescent="0.2">
      <c r="A909" s="537"/>
      <c r="B909" s="540"/>
      <c r="C909" s="540"/>
      <c r="D909" s="540"/>
      <c r="E909" s="543"/>
      <c r="F909" s="188" t="s">
        <v>314</v>
      </c>
      <c r="G909" s="192">
        <v>147</v>
      </c>
      <c r="H909" s="186">
        <v>111</v>
      </c>
      <c r="I909" s="186">
        <v>7550.7</v>
      </c>
      <c r="J909" s="186">
        <v>1112.2</v>
      </c>
      <c r="K909" s="190">
        <v>1.4238000000000001E-2</v>
      </c>
    </row>
    <row r="910" spans="1:11" x14ac:dyDescent="0.2">
      <c r="A910" s="537"/>
      <c r="B910" s="540"/>
      <c r="C910" s="540"/>
      <c r="D910" s="540"/>
      <c r="E910" s="543"/>
      <c r="F910" s="188" t="s">
        <v>315</v>
      </c>
      <c r="G910" s="192">
        <v>1080</v>
      </c>
      <c r="H910" s="186">
        <v>310.3</v>
      </c>
      <c r="I910" s="186">
        <v>82058</v>
      </c>
      <c r="J910" s="186">
        <v>88639</v>
      </c>
      <c r="K910" s="190">
        <v>0.81652800000000003</v>
      </c>
    </row>
    <row r="911" spans="1:11" x14ac:dyDescent="0.2">
      <c r="A911" s="537"/>
      <c r="B911" s="540"/>
      <c r="C911" s="540"/>
      <c r="D911" s="540"/>
      <c r="E911" s="543"/>
      <c r="F911" s="188" t="s">
        <v>316</v>
      </c>
      <c r="G911" s="192">
        <v>246</v>
      </c>
      <c r="H911" s="186">
        <v>304.39999999999998</v>
      </c>
      <c r="I911" s="186">
        <v>78488.5</v>
      </c>
      <c r="J911" s="186">
        <v>19268.900000000001</v>
      </c>
      <c r="K911" s="190">
        <v>0.178594</v>
      </c>
    </row>
    <row r="912" spans="1:11" x14ac:dyDescent="0.2">
      <c r="A912" s="537"/>
      <c r="B912" s="540"/>
      <c r="C912" s="540"/>
      <c r="D912" s="540"/>
      <c r="E912" s="543"/>
      <c r="F912" s="188" t="s">
        <v>317</v>
      </c>
      <c r="G912" s="192">
        <v>246</v>
      </c>
      <c r="H912" s="186">
        <v>303.39999999999998</v>
      </c>
      <c r="I912" s="186">
        <v>77902.3</v>
      </c>
      <c r="J912" s="186">
        <v>19125</v>
      </c>
      <c r="K912" s="190">
        <v>0.17744399999999999</v>
      </c>
    </row>
    <row r="913" spans="1:11" x14ac:dyDescent="0.2">
      <c r="A913" s="537"/>
      <c r="B913" s="540"/>
      <c r="C913" s="540"/>
      <c r="D913" s="540"/>
      <c r="E913" s="543"/>
      <c r="F913" s="188" t="s">
        <v>172</v>
      </c>
      <c r="G913" s="192">
        <v>540</v>
      </c>
      <c r="H913" s="186">
        <v>178.7</v>
      </c>
      <c r="I913" s="186">
        <v>22814.6</v>
      </c>
      <c r="J913" s="186">
        <v>12322.2</v>
      </c>
      <c r="K913" s="190">
        <v>0.13542799999999999</v>
      </c>
    </row>
    <row r="914" spans="1:11" x14ac:dyDescent="0.2">
      <c r="A914" s="537"/>
      <c r="B914" s="540"/>
      <c r="C914" s="540"/>
      <c r="D914" s="540"/>
      <c r="E914" s="543"/>
      <c r="F914" s="188" t="s">
        <v>318</v>
      </c>
      <c r="G914" s="192">
        <v>516</v>
      </c>
      <c r="H914" s="186">
        <v>166.9</v>
      </c>
      <c r="I914" s="186">
        <v>19475.5</v>
      </c>
      <c r="J914" s="186">
        <v>10040.6</v>
      </c>
      <c r="K914" s="190">
        <v>0.112788</v>
      </c>
    </row>
    <row r="915" spans="1:11" x14ac:dyDescent="0.2">
      <c r="A915" s="537"/>
      <c r="B915" s="540"/>
      <c r="C915" s="540"/>
      <c r="D915" s="540"/>
      <c r="E915" s="543"/>
      <c r="F915" s="188" t="s">
        <v>319</v>
      </c>
      <c r="G915" s="192">
        <v>221</v>
      </c>
      <c r="H915" s="186">
        <v>275</v>
      </c>
      <c r="I915" s="186">
        <v>61980.3</v>
      </c>
      <c r="J915" s="186">
        <v>13694.5</v>
      </c>
      <c r="K915" s="190">
        <v>0.13113</v>
      </c>
    </row>
    <row r="916" spans="1:11" x14ac:dyDescent="0.2">
      <c r="A916" s="538"/>
      <c r="B916" s="541"/>
      <c r="C916" s="541"/>
      <c r="D916" s="541"/>
      <c r="E916" s="544"/>
      <c r="F916" s="188" t="s">
        <v>320</v>
      </c>
      <c r="G916" s="192">
        <v>49</v>
      </c>
      <c r="H916" s="186">
        <v>304.39999999999998</v>
      </c>
      <c r="I916" s="186">
        <v>78488.5</v>
      </c>
      <c r="J916" s="186">
        <v>3853.8</v>
      </c>
      <c r="K916" s="190">
        <v>3.5719000000000001E-2</v>
      </c>
    </row>
    <row r="917" spans="1:11" x14ac:dyDescent="0.2">
      <c r="A917" s="194">
        <v>19</v>
      </c>
      <c r="B917" s="198"/>
      <c r="C917" s="198"/>
      <c r="D917" s="198" t="s">
        <v>37</v>
      </c>
      <c r="E917" s="483">
        <f>Assumptions!D79</f>
        <v>7884.7310000000007</v>
      </c>
      <c r="F917" s="188" t="s">
        <v>323</v>
      </c>
      <c r="G917" s="191">
        <v>0</v>
      </c>
      <c r="H917" s="186">
        <v>0</v>
      </c>
      <c r="I917" s="186">
        <v>0</v>
      </c>
      <c r="J917" s="186">
        <v>0</v>
      </c>
      <c r="K917" s="190">
        <v>0</v>
      </c>
    </row>
    <row r="918" spans="1:11" x14ac:dyDescent="0.2">
      <c r="A918" s="194">
        <v>20</v>
      </c>
      <c r="B918" s="198"/>
      <c r="C918" s="198"/>
      <c r="D918" s="198" t="s">
        <v>36</v>
      </c>
      <c r="E918" s="483">
        <f>Assumptions!D80</f>
        <v>2195.1750000000002</v>
      </c>
      <c r="F918" s="188" t="s">
        <v>323</v>
      </c>
      <c r="G918" s="191">
        <v>0</v>
      </c>
      <c r="H918" s="186">
        <v>0</v>
      </c>
      <c r="I918" s="186">
        <v>0</v>
      </c>
      <c r="J918" s="186">
        <v>0</v>
      </c>
      <c r="K918" s="190">
        <v>0</v>
      </c>
    </row>
    <row r="919" spans="1:11" x14ac:dyDescent="0.2">
      <c r="A919" s="194">
        <v>21</v>
      </c>
      <c r="B919" s="198"/>
      <c r="C919" s="198"/>
      <c r="D919" s="198" t="s">
        <v>37</v>
      </c>
      <c r="E919" s="483">
        <f>Assumptions!D81</f>
        <v>454.25200000000001</v>
      </c>
      <c r="F919" s="188" t="s">
        <v>323</v>
      </c>
      <c r="G919" s="191">
        <v>0</v>
      </c>
      <c r="H919" s="186">
        <v>0</v>
      </c>
      <c r="I919" s="186">
        <v>0</v>
      </c>
      <c r="J919" s="186">
        <v>0</v>
      </c>
      <c r="K919" s="190">
        <v>0</v>
      </c>
    </row>
    <row r="920" spans="1:11" x14ac:dyDescent="0.2">
      <c r="A920" s="536">
        <v>22</v>
      </c>
      <c r="B920" s="539"/>
      <c r="C920" s="539"/>
      <c r="D920" s="539" t="s">
        <v>35</v>
      </c>
      <c r="E920" s="542">
        <f>Assumptions!D82</f>
        <v>18064.454000000005</v>
      </c>
      <c r="F920" s="193" t="s">
        <v>175</v>
      </c>
      <c r="G920" s="191">
        <v>98</v>
      </c>
      <c r="H920" s="186">
        <v>70.099999999999994</v>
      </c>
      <c r="I920" s="186">
        <v>2605.1</v>
      </c>
      <c r="J920" s="186">
        <v>255.8</v>
      </c>
      <c r="K920" s="190">
        <v>3.7929999999999999E-3</v>
      </c>
    </row>
    <row r="921" spans="1:11" x14ac:dyDescent="0.2">
      <c r="A921" s="537"/>
      <c r="B921" s="540"/>
      <c r="C921" s="540"/>
      <c r="D921" s="540"/>
      <c r="E921" s="543"/>
      <c r="F921" s="193" t="s">
        <v>172</v>
      </c>
      <c r="G921" s="191">
        <v>737</v>
      </c>
      <c r="H921" s="186">
        <v>176.8</v>
      </c>
      <c r="I921" s="186">
        <v>22237.1</v>
      </c>
      <c r="J921" s="186">
        <v>16377.7</v>
      </c>
      <c r="K921" s="190">
        <v>0.18063899999999999</v>
      </c>
    </row>
    <row r="922" spans="1:11" x14ac:dyDescent="0.2">
      <c r="A922" s="537"/>
      <c r="B922" s="540"/>
      <c r="C922" s="540"/>
      <c r="D922" s="540"/>
      <c r="E922" s="543"/>
      <c r="F922" s="193" t="s">
        <v>202</v>
      </c>
      <c r="G922" s="191">
        <v>49</v>
      </c>
      <c r="H922" s="186">
        <v>122.4</v>
      </c>
      <c r="I922" s="186">
        <v>9483.9</v>
      </c>
      <c r="J922" s="186">
        <v>465.7</v>
      </c>
      <c r="K922" s="190">
        <v>5.777E-3</v>
      </c>
    </row>
    <row r="923" spans="1:11" x14ac:dyDescent="0.2">
      <c r="A923" s="537"/>
      <c r="B923" s="540"/>
      <c r="C923" s="540"/>
      <c r="D923" s="540"/>
      <c r="E923" s="543"/>
      <c r="F923" s="193" t="s">
        <v>177</v>
      </c>
      <c r="G923" s="191">
        <v>442</v>
      </c>
      <c r="H923" s="186">
        <v>101.5</v>
      </c>
      <c r="I923" s="186">
        <v>6136</v>
      </c>
      <c r="J923" s="186">
        <v>2711.5</v>
      </c>
      <c r="K923" s="190">
        <v>3.5719000000000001E-2</v>
      </c>
    </row>
    <row r="924" spans="1:11" x14ac:dyDescent="0.2">
      <c r="A924" s="537"/>
      <c r="B924" s="540"/>
      <c r="C924" s="540"/>
      <c r="D924" s="540"/>
      <c r="E924" s="543"/>
      <c r="F924" s="193" t="s">
        <v>188</v>
      </c>
      <c r="G924" s="191">
        <v>344</v>
      </c>
      <c r="H924" s="186">
        <v>115.7</v>
      </c>
      <c r="I924" s="186">
        <v>8312.2000000000007</v>
      </c>
      <c r="J924" s="186">
        <v>2856.9</v>
      </c>
      <c r="K924" s="190">
        <v>3.6090999999999998E-2</v>
      </c>
    </row>
    <row r="925" spans="1:11" x14ac:dyDescent="0.2">
      <c r="A925" s="537"/>
      <c r="B925" s="540"/>
      <c r="C925" s="540"/>
      <c r="D925" s="540"/>
      <c r="E925" s="543"/>
      <c r="F925" s="193" t="s">
        <v>173</v>
      </c>
      <c r="G925" s="191">
        <v>1031</v>
      </c>
      <c r="H925" s="186">
        <v>51.4</v>
      </c>
      <c r="I925" s="186">
        <v>1268.5999999999999</v>
      </c>
      <c r="J925" s="186">
        <v>1308.0999999999999</v>
      </c>
      <c r="K925" s="190">
        <v>2.1416000000000001E-2</v>
      </c>
    </row>
    <row r="926" spans="1:11" x14ac:dyDescent="0.2">
      <c r="A926" s="537"/>
      <c r="B926" s="540"/>
      <c r="C926" s="540"/>
      <c r="D926" s="540"/>
      <c r="E926" s="543"/>
      <c r="F926" s="193" t="s">
        <v>185</v>
      </c>
      <c r="G926" s="191">
        <v>295</v>
      </c>
      <c r="H926" s="186">
        <v>216</v>
      </c>
      <c r="I926" s="186">
        <v>35421.5</v>
      </c>
      <c r="J926" s="186">
        <v>10435.200000000001</v>
      </c>
      <c r="K926" s="190">
        <v>0.10793700000000001</v>
      </c>
    </row>
    <row r="927" spans="1:11" x14ac:dyDescent="0.2">
      <c r="A927" s="538"/>
      <c r="B927" s="541"/>
      <c r="C927" s="541"/>
      <c r="D927" s="541"/>
      <c r="E927" s="544"/>
      <c r="F927" s="193" t="s">
        <v>170</v>
      </c>
      <c r="G927" s="191">
        <v>98</v>
      </c>
      <c r="H927" s="186">
        <v>58.9</v>
      </c>
      <c r="I927" s="186">
        <v>1738.4</v>
      </c>
      <c r="J927" s="186">
        <v>170.7</v>
      </c>
      <c r="K927" s="190">
        <v>2.676E-3</v>
      </c>
    </row>
    <row r="928" spans="1:11" x14ac:dyDescent="0.2">
      <c r="A928" s="154">
        <v>2022</v>
      </c>
      <c r="E928" s="81"/>
    </row>
    <row r="929" spans="1:11" ht="26" x14ac:dyDescent="0.2">
      <c r="A929" s="499" t="s">
        <v>8</v>
      </c>
      <c r="B929" s="499" t="s">
        <v>169</v>
      </c>
      <c r="C929" s="499" t="s">
        <v>31</v>
      </c>
      <c r="D929" s="499" t="s">
        <v>32</v>
      </c>
      <c r="E929" s="151" t="s">
        <v>510</v>
      </c>
      <c r="F929" s="499" t="s">
        <v>494</v>
      </c>
      <c r="G929" s="151" t="s">
        <v>495</v>
      </c>
      <c r="H929" s="151" t="s">
        <v>504</v>
      </c>
      <c r="I929" s="151" t="s">
        <v>205</v>
      </c>
      <c r="J929" s="151" t="s">
        <v>497</v>
      </c>
      <c r="K929" s="160" t="s">
        <v>517</v>
      </c>
    </row>
    <row r="930" spans="1:11" x14ac:dyDescent="0.2">
      <c r="A930" s="525"/>
      <c r="B930" s="525"/>
      <c r="C930" s="525"/>
      <c r="D930" s="525"/>
      <c r="E930" s="162" t="s">
        <v>499</v>
      </c>
      <c r="F930" s="525"/>
      <c r="G930" s="162" t="s">
        <v>516</v>
      </c>
      <c r="H930" s="162" t="s">
        <v>500</v>
      </c>
      <c r="I930" s="171" t="s">
        <v>501</v>
      </c>
      <c r="J930" s="171" t="s">
        <v>497</v>
      </c>
      <c r="K930" s="172" t="s">
        <v>499</v>
      </c>
    </row>
    <row r="931" spans="1:11" x14ac:dyDescent="0.2">
      <c r="A931" s="500">
        <v>1</v>
      </c>
      <c r="B931" s="500"/>
      <c r="C931" s="500"/>
      <c r="D931" s="500" t="s">
        <v>34</v>
      </c>
      <c r="E931" s="535">
        <f>Assumptions!D61</f>
        <v>183.761</v>
      </c>
      <c r="F931" s="173" t="s">
        <v>292</v>
      </c>
      <c r="G931" s="177">
        <v>437.5</v>
      </c>
      <c r="H931" s="177">
        <v>80.333333333333329</v>
      </c>
      <c r="I931" s="175">
        <f>EXP(-1.996+2.32*LN(H931))</f>
        <v>3568.6704269837346</v>
      </c>
      <c r="J931" s="175">
        <f t="shared" ref="J931:J951" si="56">(I931*G931)/1000</f>
        <v>1561.2933118053841</v>
      </c>
      <c r="K931" s="176">
        <f t="shared" ref="K931:K994" si="57">0.00000001*3.14*(H931/2)^2*G931</f>
        <v>2.2163548263888888E-2</v>
      </c>
    </row>
    <row r="932" spans="1:11" x14ac:dyDescent="0.2">
      <c r="A932" s="500"/>
      <c r="B932" s="500"/>
      <c r="C932" s="500"/>
      <c r="D932" s="500"/>
      <c r="E932" s="535"/>
      <c r="F932" s="173" t="s">
        <v>301</v>
      </c>
      <c r="G932" s="177">
        <v>137.5</v>
      </c>
      <c r="H932" s="162">
        <v>121</v>
      </c>
      <c r="I932" s="175">
        <f t="shared" ref="I932:I995" si="58">EXP(-1.996+2.32*LN(H932))</f>
        <v>9230.1821861920198</v>
      </c>
      <c r="J932" s="175">
        <f t="shared" si="56"/>
        <v>1269.1500506014027</v>
      </c>
      <c r="K932" s="176">
        <f t="shared" si="57"/>
        <v>1.5803129375000002E-2</v>
      </c>
    </row>
    <row r="933" spans="1:11" x14ac:dyDescent="0.2">
      <c r="A933" s="500"/>
      <c r="B933" s="500"/>
      <c r="C933" s="500"/>
      <c r="D933" s="500"/>
      <c r="E933" s="535"/>
      <c r="F933" s="173" t="s">
        <v>302</v>
      </c>
      <c r="G933" s="177">
        <v>137.5</v>
      </c>
      <c r="H933" s="177">
        <v>126.66666666666667</v>
      </c>
      <c r="I933" s="175">
        <f t="shared" si="58"/>
        <v>10264.193891931212</v>
      </c>
      <c r="J933" s="175">
        <f t="shared" si="56"/>
        <v>1411.3266601405417</v>
      </c>
      <c r="K933" s="176">
        <f t="shared" si="57"/>
        <v>1.7317972222222228E-2</v>
      </c>
    </row>
    <row r="934" spans="1:11" x14ac:dyDescent="0.2">
      <c r="A934" s="500"/>
      <c r="B934" s="500"/>
      <c r="C934" s="500"/>
      <c r="D934" s="500"/>
      <c r="E934" s="535"/>
      <c r="F934" s="173" t="s">
        <v>303</v>
      </c>
      <c r="G934" s="177">
        <v>137.5</v>
      </c>
      <c r="H934" s="177">
        <v>125.33333333333333</v>
      </c>
      <c r="I934" s="175">
        <f t="shared" si="58"/>
        <v>10015.270958034365</v>
      </c>
      <c r="J934" s="175">
        <f t="shared" si="56"/>
        <v>1377.0997567297252</v>
      </c>
      <c r="K934" s="176">
        <f t="shared" si="57"/>
        <v>1.6955302222222222E-2</v>
      </c>
    </row>
    <row r="935" spans="1:11" x14ac:dyDescent="0.2">
      <c r="A935" s="500"/>
      <c r="B935" s="500"/>
      <c r="C935" s="500"/>
      <c r="D935" s="500"/>
      <c r="E935" s="535"/>
      <c r="F935" s="170" t="s">
        <v>368</v>
      </c>
      <c r="G935" s="177">
        <v>12.5</v>
      </c>
      <c r="H935" s="162">
        <v>97</v>
      </c>
      <c r="I935" s="175">
        <f t="shared" si="58"/>
        <v>5526.6076980374646</v>
      </c>
      <c r="J935" s="175">
        <f t="shared" si="56"/>
        <v>69.082596225468308</v>
      </c>
      <c r="K935" s="176">
        <f t="shared" si="57"/>
        <v>9.2325812500000009E-4</v>
      </c>
    </row>
    <row r="936" spans="1:11" x14ac:dyDescent="0.2">
      <c r="A936" s="500"/>
      <c r="B936" s="500"/>
      <c r="C936" s="500"/>
      <c r="D936" s="500"/>
      <c r="E936" s="535"/>
      <c r="F936" s="170" t="s">
        <v>172</v>
      </c>
      <c r="G936" s="177">
        <v>87.5</v>
      </c>
      <c r="H936" s="162">
        <v>101</v>
      </c>
      <c r="I936" s="175">
        <f t="shared" si="58"/>
        <v>6069.79189372782</v>
      </c>
      <c r="J936" s="175">
        <f t="shared" si="56"/>
        <v>531.10679070118431</v>
      </c>
      <c r="K936" s="176">
        <f t="shared" si="57"/>
        <v>7.0068118750000003E-3</v>
      </c>
    </row>
    <row r="937" spans="1:11" x14ac:dyDescent="0.2">
      <c r="A937" s="500"/>
      <c r="B937" s="500"/>
      <c r="C937" s="500"/>
      <c r="D937" s="500"/>
      <c r="E937" s="535"/>
      <c r="F937" s="170" t="s">
        <v>369</v>
      </c>
      <c r="G937" s="177">
        <v>137.5</v>
      </c>
      <c r="H937" s="162">
        <v>70</v>
      </c>
      <c r="I937" s="175">
        <f t="shared" si="58"/>
        <v>2592.8396953644792</v>
      </c>
      <c r="J937" s="175">
        <f t="shared" si="56"/>
        <v>356.51545811261593</v>
      </c>
      <c r="K937" s="176">
        <f t="shared" si="57"/>
        <v>5.2889375000000011E-3</v>
      </c>
    </row>
    <row r="938" spans="1:11" x14ac:dyDescent="0.2">
      <c r="A938" s="500"/>
      <c r="B938" s="500"/>
      <c r="C938" s="500"/>
      <c r="D938" s="500"/>
      <c r="E938" s="535"/>
      <c r="F938" s="170" t="s">
        <v>189</v>
      </c>
      <c r="G938" s="177">
        <v>12.5</v>
      </c>
      <c r="H938" s="162">
        <v>80</v>
      </c>
      <c r="I938" s="175">
        <f t="shared" si="58"/>
        <v>3534.4104610532568</v>
      </c>
      <c r="J938" s="175">
        <f t="shared" si="56"/>
        <v>44.180130763165714</v>
      </c>
      <c r="K938" s="176">
        <f t="shared" si="57"/>
        <v>6.2800000000000009E-4</v>
      </c>
    </row>
    <row r="939" spans="1:11" x14ac:dyDescent="0.2">
      <c r="A939" s="500"/>
      <c r="B939" s="500"/>
      <c r="C939" s="500"/>
      <c r="D939" s="500"/>
      <c r="E939" s="535"/>
      <c r="F939" s="170" t="s">
        <v>188</v>
      </c>
      <c r="G939" s="177">
        <v>12.5</v>
      </c>
      <c r="H939" s="162">
        <v>245</v>
      </c>
      <c r="I939" s="175">
        <f t="shared" si="58"/>
        <v>47425.675984669251</v>
      </c>
      <c r="J939" s="175">
        <f t="shared" si="56"/>
        <v>592.82094980836564</v>
      </c>
      <c r="K939" s="176">
        <f t="shared" si="57"/>
        <v>5.8899531250000007E-3</v>
      </c>
    </row>
    <row r="940" spans="1:11" x14ac:dyDescent="0.2">
      <c r="A940" s="500"/>
      <c r="B940" s="500"/>
      <c r="C940" s="500"/>
      <c r="D940" s="500"/>
      <c r="E940" s="535"/>
      <c r="F940" s="170" t="s">
        <v>370</v>
      </c>
      <c r="G940" s="177">
        <v>25</v>
      </c>
      <c r="H940" s="162">
        <v>115</v>
      </c>
      <c r="I940" s="175">
        <f t="shared" si="58"/>
        <v>8202.8959685729915</v>
      </c>
      <c r="J940" s="175">
        <f t="shared" si="56"/>
        <v>205.07239921432478</v>
      </c>
      <c r="K940" s="176">
        <f t="shared" si="57"/>
        <v>2.5954062500000005E-3</v>
      </c>
    </row>
    <row r="941" spans="1:11" x14ac:dyDescent="0.2">
      <c r="A941" s="500"/>
      <c r="B941" s="500"/>
      <c r="C941" s="500"/>
      <c r="D941" s="500"/>
      <c r="E941" s="535"/>
      <c r="F941" s="170" t="s">
        <v>371</v>
      </c>
      <c r="G941" s="177">
        <v>12.5</v>
      </c>
      <c r="H941" s="162">
        <v>72</v>
      </c>
      <c r="I941" s="175">
        <f t="shared" si="58"/>
        <v>2767.9587000310853</v>
      </c>
      <c r="J941" s="175">
        <f t="shared" si="56"/>
        <v>34.599483750388565</v>
      </c>
      <c r="K941" s="176">
        <f t="shared" si="57"/>
        <v>5.0868000000000007E-4</v>
      </c>
    </row>
    <row r="942" spans="1:11" x14ac:dyDescent="0.2">
      <c r="A942" s="500"/>
      <c r="B942" s="500"/>
      <c r="C942" s="500"/>
      <c r="D942" s="500"/>
      <c r="E942" s="535"/>
      <c r="F942" s="170" t="s">
        <v>320</v>
      </c>
      <c r="G942" s="177">
        <v>12.5</v>
      </c>
      <c r="H942" s="162">
        <v>310</v>
      </c>
      <c r="I942" s="175">
        <f t="shared" si="58"/>
        <v>81866.711166509587</v>
      </c>
      <c r="J942" s="175">
        <f t="shared" si="56"/>
        <v>1023.3338895813698</v>
      </c>
      <c r="K942" s="176">
        <f t="shared" si="57"/>
        <v>9.4298125000000007E-3</v>
      </c>
    </row>
    <row r="943" spans="1:11" x14ac:dyDescent="0.2">
      <c r="A943" s="500">
        <v>2</v>
      </c>
      <c r="B943" s="500"/>
      <c r="C943" s="500"/>
      <c r="D943" s="500" t="s">
        <v>35</v>
      </c>
      <c r="E943" s="535">
        <f>Assumptions!D62</f>
        <v>6772.8780000000015</v>
      </c>
      <c r="F943" s="179" t="s">
        <v>173</v>
      </c>
      <c r="G943" s="177">
        <v>184.78260869565219</v>
      </c>
      <c r="H943" s="177">
        <v>116.66666666666667</v>
      </c>
      <c r="I943" s="175">
        <f t="shared" si="58"/>
        <v>8481.3457123659427</v>
      </c>
      <c r="J943" s="175">
        <f t="shared" si="56"/>
        <v>1567.2051859806634</v>
      </c>
      <c r="K943" s="176">
        <f t="shared" si="57"/>
        <v>1.9743508454106284E-2</v>
      </c>
    </row>
    <row r="944" spans="1:11" x14ac:dyDescent="0.2">
      <c r="A944" s="500"/>
      <c r="B944" s="501"/>
      <c r="C944" s="501"/>
      <c r="D944" s="501"/>
      <c r="E944" s="535"/>
      <c r="F944" s="179" t="s">
        <v>170</v>
      </c>
      <c r="G944" s="177">
        <v>10.869565217391305</v>
      </c>
      <c r="H944" s="162">
        <v>80</v>
      </c>
      <c r="I944" s="175">
        <f t="shared" si="58"/>
        <v>3534.4104610532568</v>
      </c>
      <c r="J944" s="175">
        <f t="shared" si="56"/>
        <v>38.417505011448448</v>
      </c>
      <c r="K944" s="176">
        <f t="shared" si="57"/>
        <v>5.4608695652173919E-4</v>
      </c>
    </row>
    <row r="945" spans="1:11" x14ac:dyDescent="0.2">
      <c r="A945" s="500"/>
      <c r="B945" s="501"/>
      <c r="C945" s="501"/>
      <c r="D945" s="501"/>
      <c r="E945" s="535"/>
      <c r="F945" s="179" t="s">
        <v>171</v>
      </c>
      <c r="G945" s="177">
        <v>32.608695652173914</v>
      </c>
      <c r="H945" s="162">
        <v>110</v>
      </c>
      <c r="I945" s="175">
        <f t="shared" si="58"/>
        <v>7399.1059079193756</v>
      </c>
      <c r="J945" s="175">
        <f t="shared" si="56"/>
        <v>241.27519264954486</v>
      </c>
      <c r="K945" s="176">
        <f t="shared" si="57"/>
        <v>3.0973369565217394E-3</v>
      </c>
    </row>
    <row r="946" spans="1:11" x14ac:dyDescent="0.2">
      <c r="A946" s="500"/>
      <c r="B946" s="501"/>
      <c r="C946" s="501"/>
      <c r="D946" s="501"/>
      <c r="E946" s="535"/>
      <c r="F946" s="179" t="s">
        <v>172</v>
      </c>
      <c r="G946" s="177">
        <v>97.826086956521749</v>
      </c>
      <c r="H946" s="177">
        <v>126.66666666666667</v>
      </c>
      <c r="I946" s="175">
        <f t="shared" si="58"/>
        <v>10264.193891931212</v>
      </c>
      <c r="J946" s="175">
        <f t="shared" si="56"/>
        <v>1004.1059242106621</v>
      </c>
      <c r="K946" s="176">
        <f t="shared" si="57"/>
        <v>1.2321086956521744E-2</v>
      </c>
    </row>
    <row r="947" spans="1:11" x14ac:dyDescent="0.2">
      <c r="A947" s="500"/>
      <c r="B947" s="501"/>
      <c r="C947" s="501"/>
      <c r="D947" s="501"/>
      <c r="E947" s="535"/>
      <c r="F947" s="179" t="s">
        <v>185</v>
      </c>
      <c r="G947" s="177">
        <v>10.869565217391305</v>
      </c>
      <c r="H947" s="162">
        <v>60</v>
      </c>
      <c r="I947" s="175">
        <f t="shared" si="58"/>
        <v>1813.2559658049438</v>
      </c>
      <c r="J947" s="175">
        <f t="shared" si="56"/>
        <v>19.709303976140696</v>
      </c>
      <c r="K947" s="176">
        <f t="shared" si="57"/>
        <v>3.0717391304347833E-4</v>
      </c>
    </row>
    <row r="948" spans="1:11" x14ac:dyDescent="0.2">
      <c r="A948" s="500"/>
      <c r="B948" s="501"/>
      <c r="C948" s="501"/>
      <c r="D948" s="501"/>
      <c r="E948" s="535"/>
      <c r="F948" s="179" t="s">
        <v>372</v>
      </c>
      <c r="G948" s="177">
        <v>10.869565217391305</v>
      </c>
      <c r="H948" s="162">
        <v>78</v>
      </c>
      <c r="I948" s="175">
        <f t="shared" si="58"/>
        <v>3332.7880266480315</v>
      </c>
      <c r="J948" s="175">
        <f t="shared" si="56"/>
        <v>36.225956811391647</v>
      </c>
      <c r="K948" s="176">
        <f t="shared" si="57"/>
        <v>5.191239130434783E-4</v>
      </c>
    </row>
    <row r="949" spans="1:11" ht="26" x14ac:dyDescent="0.2">
      <c r="A949" s="7">
        <v>3</v>
      </c>
      <c r="B949" s="6"/>
      <c r="C949" s="6"/>
      <c r="D949" s="6" t="s">
        <v>35</v>
      </c>
      <c r="E949" s="480">
        <f>Assumptions!D63</f>
        <v>4319.8270000000002</v>
      </c>
      <c r="F949" s="173" t="s">
        <v>323</v>
      </c>
      <c r="G949" s="162">
        <v>0</v>
      </c>
      <c r="H949" s="162">
        <v>0</v>
      </c>
      <c r="I949" s="175">
        <v>0</v>
      </c>
      <c r="J949" s="175">
        <f t="shared" si="56"/>
        <v>0</v>
      </c>
      <c r="K949" s="176">
        <f t="shared" si="57"/>
        <v>0</v>
      </c>
    </row>
    <row r="950" spans="1:11" x14ac:dyDescent="0.2">
      <c r="A950" s="500">
        <v>4</v>
      </c>
      <c r="B950" s="501"/>
      <c r="C950" s="501"/>
      <c r="D950" s="501" t="s">
        <v>34</v>
      </c>
      <c r="E950" s="535">
        <f>Assumptions!D64</f>
        <v>1612.0500000000002</v>
      </c>
      <c r="F950" s="170" t="s">
        <v>373</v>
      </c>
      <c r="G950" s="162">
        <v>400</v>
      </c>
      <c r="H950" s="162">
        <v>70</v>
      </c>
      <c r="I950" s="175">
        <f t="shared" si="58"/>
        <v>2592.8396953644792</v>
      </c>
      <c r="J950" s="175">
        <f t="shared" si="56"/>
        <v>1037.1358781457916</v>
      </c>
      <c r="K950" s="176">
        <f t="shared" si="57"/>
        <v>1.5386000000000002E-2</v>
      </c>
    </row>
    <row r="951" spans="1:11" x14ac:dyDescent="0.2">
      <c r="A951" s="500"/>
      <c r="B951" s="501"/>
      <c r="C951" s="501"/>
      <c r="D951" s="501"/>
      <c r="E951" s="535"/>
      <c r="F951" s="170" t="s">
        <v>374</v>
      </c>
      <c r="G951" s="162">
        <v>50</v>
      </c>
      <c r="H951" s="162">
        <v>55</v>
      </c>
      <c r="I951" s="175">
        <f t="shared" si="58"/>
        <v>1481.8002159824061</v>
      </c>
      <c r="J951" s="175">
        <f t="shared" si="56"/>
        <v>74.090010799120307</v>
      </c>
      <c r="K951" s="176">
        <f t="shared" si="57"/>
        <v>1.1873125000000002E-3</v>
      </c>
    </row>
    <row r="952" spans="1:11" ht="26" x14ac:dyDescent="0.2">
      <c r="A952" s="162">
        <v>5</v>
      </c>
      <c r="B952" s="170"/>
      <c r="C952" s="6"/>
      <c r="D952" s="6" t="s">
        <v>34</v>
      </c>
      <c r="E952" s="171">
        <f>Assumptions!D65</f>
        <v>353.58800000000002</v>
      </c>
      <c r="F952" s="173" t="s">
        <v>323</v>
      </c>
      <c r="G952" s="162">
        <v>0</v>
      </c>
      <c r="H952" s="162">
        <v>0</v>
      </c>
      <c r="I952" s="175">
        <v>0</v>
      </c>
      <c r="J952" s="175">
        <v>0</v>
      </c>
      <c r="K952" s="176">
        <f t="shared" si="57"/>
        <v>0</v>
      </c>
    </row>
    <row r="953" spans="1:11" x14ac:dyDescent="0.2">
      <c r="A953" s="500">
        <v>6</v>
      </c>
      <c r="B953" s="501"/>
      <c r="C953" s="501"/>
      <c r="D953" s="501" t="s">
        <v>35</v>
      </c>
      <c r="E953" s="535">
        <f>Assumptions!D66</f>
        <v>4915.7929999999997</v>
      </c>
      <c r="F953" s="179" t="s">
        <v>178</v>
      </c>
      <c r="G953" s="177">
        <v>237.20349563046193</v>
      </c>
      <c r="H953" s="177">
        <v>88.235294117647058</v>
      </c>
      <c r="I953" s="175">
        <f t="shared" si="58"/>
        <v>4436.4790755796312</v>
      </c>
      <c r="J953" s="175">
        <f t="shared" ref="J953:J983" si="59">(I953*G953)/1000</f>
        <v>1052.3483450188887</v>
      </c>
      <c r="K953" s="176">
        <f t="shared" si="57"/>
        <v>1.4496909140391121E-2</v>
      </c>
    </row>
    <row r="954" spans="1:11" x14ac:dyDescent="0.2">
      <c r="A954" s="500"/>
      <c r="B954" s="501"/>
      <c r="C954" s="501"/>
      <c r="D954" s="501"/>
      <c r="E954" s="535"/>
      <c r="F954" s="179" t="s">
        <v>179</v>
      </c>
      <c r="G954" s="177">
        <v>74.812967581047388</v>
      </c>
      <c r="H954" s="162">
        <v>75</v>
      </c>
      <c r="I954" s="175">
        <f t="shared" si="58"/>
        <v>3042.9186723694179</v>
      </c>
      <c r="J954" s="175">
        <f t="shared" si="59"/>
        <v>227.64977598773703</v>
      </c>
      <c r="K954" s="176">
        <f t="shared" si="57"/>
        <v>3.3034600997506242E-3</v>
      </c>
    </row>
    <row r="955" spans="1:11" x14ac:dyDescent="0.2">
      <c r="A955" s="500"/>
      <c r="B955" s="501"/>
      <c r="C955" s="501"/>
      <c r="D955" s="501"/>
      <c r="E955" s="535"/>
      <c r="F955" s="179" t="s">
        <v>175</v>
      </c>
      <c r="G955" s="177">
        <v>386.05230386052301</v>
      </c>
      <c r="H955" s="162">
        <v>40</v>
      </c>
      <c r="I955" s="175">
        <f t="shared" si="58"/>
        <v>707.82743884685317</v>
      </c>
      <c r="J955" s="175">
        <f t="shared" si="59"/>
        <v>273.25841350252114</v>
      </c>
      <c r="K955" s="176">
        <f t="shared" si="57"/>
        <v>4.8488169364881697E-3</v>
      </c>
    </row>
    <row r="956" spans="1:11" x14ac:dyDescent="0.2">
      <c r="A956" s="500"/>
      <c r="B956" s="501"/>
      <c r="C956" s="501"/>
      <c r="D956" s="501"/>
      <c r="E956" s="535"/>
      <c r="F956" s="179" t="s">
        <v>180</v>
      </c>
      <c r="G956" s="177">
        <v>12.437810945273633</v>
      </c>
      <c r="H956" s="162">
        <v>100</v>
      </c>
      <c r="I956" s="175">
        <f t="shared" si="58"/>
        <v>5931.2771007387437</v>
      </c>
      <c r="J956" s="175">
        <f t="shared" si="59"/>
        <v>73.772103243019203</v>
      </c>
      <c r="K956" s="176">
        <f t="shared" si="57"/>
        <v>9.7636815920398032E-4</v>
      </c>
    </row>
    <row r="957" spans="1:11" x14ac:dyDescent="0.2">
      <c r="A957" s="500"/>
      <c r="B957" s="501"/>
      <c r="C957" s="501"/>
      <c r="D957" s="501"/>
      <c r="E957" s="535"/>
      <c r="F957" s="179" t="s">
        <v>181</v>
      </c>
      <c r="G957" s="177">
        <v>12.5</v>
      </c>
      <c r="H957" s="162">
        <v>160</v>
      </c>
      <c r="I957" s="175">
        <f t="shared" si="58"/>
        <v>17648.450203560842</v>
      </c>
      <c r="J957" s="175">
        <f t="shared" si="59"/>
        <v>220.60562754451053</v>
      </c>
      <c r="K957" s="176">
        <f t="shared" si="57"/>
        <v>2.5120000000000003E-3</v>
      </c>
    </row>
    <row r="958" spans="1:11" ht="26" x14ac:dyDescent="0.2">
      <c r="A958" s="162">
        <v>7</v>
      </c>
      <c r="B958" s="170"/>
      <c r="C958" s="6"/>
      <c r="D958" s="6" t="s">
        <v>34</v>
      </c>
      <c r="E958" s="171">
        <f>Assumptions!D67</f>
        <v>2549.9479999999994</v>
      </c>
      <c r="F958" s="170" t="s">
        <v>373</v>
      </c>
      <c r="G958" s="178">
        <v>16.666666666666668</v>
      </c>
      <c r="H958" s="162">
        <v>245</v>
      </c>
      <c r="I958" s="175">
        <f t="shared" si="58"/>
        <v>47425.675984669251</v>
      </c>
      <c r="J958" s="175">
        <f t="shared" si="59"/>
        <v>790.42793307782097</v>
      </c>
      <c r="K958" s="176">
        <f t="shared" si="57"/>
        <v>7.8532708333333354E-3</v>
      </c>
    </row>
    <row r="959" spans="1:11" x14ac:dyDescent="0.2">
      <c r="A959" s="162">
        <v>8</v>
      </c>
      <c r="B959" s="170"/>
      <c r="C959" s="6"/>
      <c r="D959" s="6" t="s">
        <v>36</v>
      </c>
      <c r="E959" s="171">
        <f>Assumptions!D68</f>
        <v>741.26900000000001</v>
      </c>
      <c r="F959" s="173" t="s">
        <v>375</v>
      </c>
      <c r="G959" s="75">
        <v>300</v>
      </c>
      <c r="H959" s="162">
        <v>170</v>
      </c>
      <c r="I959" s="175">
        <f t="shared" si="58"/>
        <v>20313.731683432794</v>
      </c>
      <c r="J959" s="175">
        <f t="shared" si="59"/>
        <v>6094.1195050298384</v>
      </c>
      <c r="K959" s="176">
        <f t="shared" si="57"/>
        <v>6.8059500000000009E-2</v>
      </c>
    </row>
    <row r="960" spans="1:11" x14ac:dyDescent="0.2">
      <c r="A960" s="500">
        <v>9</v>
      </c>
      <c r="B960" s="501"/>
      <c r="C960" s="501"/>
      <c r="D960" s="501" t="s">
        <v>35</v>
      </c>
      <c r="E960" s="535">
        <f>Assumptions!D69</f>
        <v>8643.7000000000025</v>
      </c>
      <c r="F960" s="179" t="s">
        <v>173</v>
      </c>
      <c r="G960" s="162">
        <v>50</v>
      </c>
      <c r="H960" s="177">
        <v>68.571428571428569</v>
      </c>
      <c r="I960" s="175">
        <f t="shared" si="58"/>
        <v>2471.7266036793449</v>
      </c>
      <c r="J960" s="175">
        <f t="shared" si="59"/>
        <v>123.58633018396725</v>
      </c>
      <c r="K960" s="176">
        <f t="shared" si="57"/>
        <v>1.8455510204081632E-3</v>
      </c>
    </row>
    <row r="961" spans="1:11" x14ac:dyDescent="0.2">
      <c r="A961" s="500"/>
      <c r="B961" s="501"/>
      <c r="C961" s="501"/>
      <c r="D961" s="501"/>
      <c r="E961" s="535"/>
      <c r="F961" s="179" t="s">
        <v>172</v>
      </c>
      <c r="G961" s="162">
        <v>160</v>
      </c>
      <c r="H961" s="177">
        <v>194.28571428571428</v>
      </c>
      <c r="I961" s="175">
        <f t="shared" si="58"/>
        <v>27690.514725346766</v>
      </c>
      <c r="J961" s="175">
        <f t="shared" si="59"/>
        <v>4430.4823560554823</v>
      </c>
      <c r="K961" s="176">
        <f t="shared" si="57"/>
        <v>4.7410155102040816E-2</v>
      </c>
    </row>
    <row r="962" spans="1:11" x14ac:dyDescent="0.2">
      <c r="A962" s="500"/>
      <c r="B962" s="501"/>
      <c r="C962" s="501"/>
      <c r="D962" s="501"/>
      <c r="E962" s="535"/>
      <c r="F962" s="179" t="s">
        <v>183</v>
      </c>
      <c r="G962" s="177">
        <v>116.66666666666667</v>
      </c>
      <c r="H962" s="162">
        <v>65</v>
      </c>
      <c r="I962" s="175">
        <f t="shared" si="58"/>
        <v>2183.2687648175429</v>
      </c>
      <c r="J962" s="175">
        <f t="shared" si="59"/>
        <v>254.71468922871333</v>
      </c>
      <c r="K962" s="176">
        <f t="shared" si="57"/>
        <v>3.8693958333333341E-3</v>
      </c>
    </row>
    <row r="963" spans="1:11" x14ac:dyDescent="0.2">
      <c r="A963" s="500"/>
      <c r="B963" s="501"/>
      <c r="C963" s="501"/>
      <c r="D963" s="501"/>
      <c r="E963" s="535"/>
      <c r="F963" s="179" t="s">
        <v>184</v>
      </c>
      <c r="G963" s="162">
        <v>100</v>
      </c>
      <c r="H963" s="162">
        <v>210</v>
      </c>
      <c r="I963" s="175">
        <f t="shared" si="58"/>
        <v>33166.296422133935</v>
      </c>
      <c r="J963" s="175">
        <f t="shared" si="59"/>
        <v>3316.6296422133933</v>
      </c>
      <c r="K963" s="176">
        <f t="shared" si="57"/>
        <v>3.4618500000000003E-2</v>
      </c>
    </row>
    <row r="964" spans="1:11" x14ac:dyDescent="0.2">
      <c r="A964" s="500"/>
      <c r="B964" s="501"/>
      <c r="C964" s="501"/>
      <c r="D964" s="501"/>
      <c r="E964" s="535"/>
      <c r="F964" s="179" t="s">
        <v>185</v>
      </c>
      <c r="G964" s="162">
        <v>75</v>
      </c>
      <c r="H964" s="162">
        <v>60</v>
      </c>
      <c r="I964" s="175">
        <f t="shared" si="58"/>
        <v>1813.2559658049438</v>
      </c>
      <c r="J964" s="175">
        <f t="shared" si="59"/>
        <v>135.99419743537078</v>
      </c>
      <c r="K964" s="176">
        <f t="shared" si="57"/>
        <v>2.1195000000000003E-3</v>
      </c>
    </row>
    <row r="965" spans="1:11" x14ac:dyDescent="0.2">
      <c r="A965" s="500"/>
      <c r="B965" s="501"/>
      <c r="C965" s="501"/>
      <c r="D965" s="501"/>
      <c r="E965" s="535"/>
      <c r="F965" s="179" t="s">
        <v>186</v>
      </c>
      <c r="G965" s="162">
        <v>183</v>
      </c>
      <c r="H965" s="177">
        <v>143.33333333333334</v>
      </c>
      <c r="I965" s="175">
        <f t="shared" si="58"/>
        <v>13673.311886548703</v>
      </c>
      <c r="J965" s="175">
        <f t="shared" si="59"/>
        <v>2502.2160752384125</v>
      </c>
      <c r="K965" s="176">
        <f t="shared" si="57"/>
        <v>2.951312166666668E-2</v>
      </c>
    </row>
    <row r="966" spans="1:11" x14ac:dyDescent="0.2">
      <c r="A966" s="500"/>
      <c r="B966" s="501"/>
      <c r="C966" s="501"/>
      <c r="D966" s="501"/>
      <c r="E966" s="535"/>
      <c r="F966" s="179" t="s">
        <v>171</v>
      </c>
      <c r="G966" s="162">
        <v>87</v>
      </c>
      <c r="H966" s="162">
        <v>355</v>
      </c>
      <c r="I966" s="175">
        <f t="shared" si="58"/>
        <v>112118.68442574952</v>
      </c>
      <c r="J966" s="175">
        <f t="shared" si="59"/>
        <v>9754.3255450402085</v>
      </c>
      <c r="K966" s="176">
        <f t="shared" si="57"/>
        <v>8.6068773750000008E-2</v>
      </c>
    </row>
    <row r="967" spans="1:11" x14ac:dyDescent="0.2">
      <c r="A967" s="500"/>
      <c r="B967" s="501"/>
      <c r="C967" s="501"/>
      <c r="D967" s="501"/>
      <c r="E967" s="535"/>
      <c r="F967" s="179" t="s">
        <v>187</v>
      </c>
      <c r="G967" s="162">
        <v>50</v>
      </c>
      <c r="H967" s="162">
        <v>300</v>
      </c>
      <c r="I967" s="175">
        <f t="shared" si="58"/>
        <v>75869.90234552983</v>
      </c>
      <c r="J967" s="175">
        <f t="shared" si="59"/>
        <v>3793.4951172764918</v>
      </c>
      <c r="K967" s="176">
        <f t="shared" si="57"/>
        <v>3.5325000000000002E-2</v>
      </c>
    </row>
    <row r="968" spans="1:11" x14ac:dyDescent="0.2">
      <c r="A968" s="500"/>
      <c r="B968" s="501"/>
      <c r="C968" s="501"/>
      <c r="D968" s="501"/>
      <c r="E968" s="535"/>
      <c r="F968" s="179" t="s">
        <v>188</v>
      </c>
      <c r="G968" s="162">
        <v>100</v>
      </c>
      <c r="H968" s="162">
        <v>245</v>
      </c>
      <c r="I968" s="175">
        <f t="shared" si="58"/>
        <v>47425.675984669251</v>
      </c>
      <c r="J968" s="175">
        <f t="shared" si="59"/>
        <v>4742.5675984669251</v>
      </c>
      <c r="K968" s="176">
        <f t="shared" si="57"/>
        <v>4.7119625000000005E-2</v>
      </c>
    </row>
    <row r="969" spans="1:11" x14ac:dyDescent="0.2">
      <c r="A969" s="500"/>
      <c r="B969" s="501"/>
      <c r="C969" s="501"/>
      <c r="D969" s="501"/>
      <c r="E969" s="535"/>
      <c r="F969" s="179" t="s">
        <v>376</v>
      </c>
      <c r="G969" s="162">
        <v>50</v>
      </c>
      <c r="H969" s="162">
        <v>67</v>
      </c>
      <c r="I969" s="175">
        <f t="shared" si="58"/>
        <v>2342.2958901763295</v>
      </c>
      <c r="J969" s="175">
        <f t="shared" si="59"/>
        <v>117.11479450881647</v>
      </c>
      <c r="K969" s="176">
        <f t="shared" si="57"/>
        <v>1.7619325000000001E-3</v>
      </c>
    </row>
    <row r="970" spans="1:11" x14ac:dyDescent="0.2">
      <c r="A970" s="500"/>
      <c r="B970" s="501"/>
      <c r="C970" s="501"/>
      <c r="D970" s="501"/>
      <c r="E970" s="535"/>
      <c r="F970" s="179" t="s">
        <v>377</v>
      </c>
      <c r="G970" s="162">
        <v>100</v>
      </c>
      <c r="H970" s="162">
        <v>70</v>
      </c>
      <c r="I970" s="175">
        <f t="shared" si="58"/>
        <v>2592.8396953644792</v>
      </c>
      <c r="J970" s="175">
        <f t="shared" si="59"/>
        <v>259.2839695364479</v>
      </c>
      <c r="K970" s="176">
        <f t="shared" si="57"/>
        <v>3.8465000000000005E-3</v>
      </c>
    </row>
    <row r="971" spans="1:11" x14ac:dyDescent="0.2">
      <c r="A971" s="500"/>
      <c r="B971" s="501"/>
      <c r="C971" s="501"/>
      <c r="D971" s="501"/>
      <c r="E971" s="535"/>
      <c r="F971" s="179" t="s">
        <v>378</v>
      </c>
      <c r="G971" s="162">
        <v>275</v>
      </c>
      <c r="H971" s="162">
        <v>150</v>
      </c>
      <c r="I971" s="175">
        <f t="shared" si="58"/>
        <v>15194.273346167542</v>
      </c>
      <c r="J971" s="175">
        <f t="shared" si="59"/>
        <v>4178.4251701960739</v>
      </c>
      <c r="K971" s="176">
        <f t="shared" si="57"/>
        <v>4.8571875000000007E-2</v>
      </c>
    </row>
    <row r="972" spans="1:11" x14ac:dyDescent="0.2">
      <c r="A972" s="500"/>
      <c r="B972" s="501"/>
      <c r="C972" s="501"/>
      <c r="D972" s="501"/>
      <c r="E972" s="535"/>
      <c r="F972" s="179" t="s">
        <v>379</v>
      </c>
      <c r="G972" s="162">
        <v>110</v>
      </c>
      <c r="H972" s="162">
        <v>250</v>
      </c>
      <c r="I972" s="175">
        <f t="shared" si="58"/>
        <v>49701.447153646281</v>
      </c>
      <c r="J972" s="175">
        <f t="shared" si="59"/>
        <v>5467.1591869010908</v>
      </c>
      <c r="K972" s="176">
        <f t="shared" si="57"/>
        <v>5.396875000000001E-2</v>
      </c>
    </row>
    <row r="973" spans="1:11" x14ac:dyDescent="0.2">
      <c r="A973" s="500">
        <v>10</v>
      </c>
      <c r="B973" s="501"/>
      <c r="C973" s="501"/>
      <c r="D973" s="501" t="s">
        <v>35</v>
      </c>
      <c r="E973" s="535">
        <f>Assumptions!D70</f>
        <v>2860.4270000000001</v>
      </c>
      <c r="F973" s="179" t="s">
        <v>189</v>
      </c>
      <c r="G973" s="162">
        <v>33</v>
      </c>
      <c r="H973" s="162">
        <v>80</v>
      </c>
      <c r="I973" s="175">
        <f t="shared" si="58"/>
        <v>3534.4104610532568</v>
      </c>
      <c r="J973" s="175">
        <f t="shared" si="59"/>
        <v>116.63554521475747</v>
      </c>
      <c r="K973" s="176">
        <f t="shared" si="57"/>
        <v>1.6579200000000002E-3</v>
      </c>
    </row>
    <row r="974" spans="1:11" x14ac:dyDescent="0.2">
      <c r="A974" s="500"/>
      <c r="B974" s="501"/>
      <c r="C974" s="501"/>
      <c r="D974" s="501"/>
      <c r="E974" s="535"/>
      <c r="F974" s="179" t="s">
        <v>190</v>
      </c>
      <c r="G974" s="162">
        <v>267</v>
      </c>
      <c r="H974" s="162">
        <v>70</v>
      </c>
      <c r="I974" s="175">
        <f t="shared" si="58"/>
        <v>2592.8396953644792</v>
      </c>
      <c r="J974" s="175">
        <f t="shared" si="59"/>
        <v>692.28819866231595</v>
      </c>
      <c r="K974" s="176">
        <f t="shared" si="57"/>
        <v>1.0270155000000001E-2</v>
      </c>
    </row>
    <row r="975" spans="1:11" x14ac:dyDescent="0.2">
      <c r="A975" s="500"/>
      <c r="B975" s="501"/>
      <c r="C975" s="501"/>
      <c r="D975" s="501"/>
      <c r="E975" s="535"/>
      <c r="F975" s="179" t="s">
        <v>191</v>
      </c>
      <c r="G975" s="162">
        <v>33</v>
      </c>
      <c r="H975" s="162">
        <v>60</v>
      </c>
      <c r="I975" s="175">
        <f t="shared" si="58"/>
        <v>1813.2559658049438</v>
      </c>
      <c r="J975" s="175">
        <f t="shared" si="59"/>
        <v>59.837446871563145</v>
      </c>
      <c r="K975" s="176">
        <f t="shared" si="57"/>
        <v>9.3258000000000013E-4</v>
      </c>
    </row>
    <row r="976" spans="1:11" x14ac:dyDescent="0.2">
      <c r="A976" s="500"/>
      <c r="B976" s="501"/>
      <c r="C976" s="501"/>
      <c r="D976" s="501"/>
      <c r="E976" s="535"/>
      <c r="F976" s="179" t="s">
        <v>171</v>
      </c>
      <c r="G976" s="162">
        <v>166</v>
      </c>
      <c r="H976" s="162">
        <v>105</v>
      </c>
      <c r="I976" s="175">
        <f t="shared" si="58"/>
        <v>6642.1302537449892</v>
      </c>
      <c r="J976" s="175">
        <f t="shared" si="59"/>
        <v>1102.5936221216682</v>
      </c>
      <c r="K976" s="176">
        <f t="shared" si="57"/>
        <v>1.4366677500000003E-2</v>
      </c>
    </row>
    <row r="977" spans="1:11" x14ac:dyDescent="0.2">
      <c r="A977" s="500"/>
      <c r="B977" s="501"/>
      <c r="C977" s="501"/>
      <c r="D977" s="501"/>
      <c r="E977" s="535"/>
      <c r="F977" s="179" t="s">
        <v>188</v>
      </c>
      <c r="G977" s="162">
        <v>33</v>
      </c>
      <c r="H977" s="162">
        <v>180</v>
      </c>
      <c r="I977" s="175">
        <f t="shared" si="58"/>
        <v>23194.254916185942</v>
      </c>
      <c r="J977" s="175">
        <f t="shared" si="59"/>
        <v>765.41041223413617</v>
      </c>
      <c r="K977" s="176">
        <f t="shared" si="57"/>
        <v>8.3932200000000016E-3</v>
      </c>
    </row>
    <row r="978" spans="1:11" x14ac:dyDescent="0.2">
      <c r="A978" s="500"/>
      <c r="B978" s="501"/>
      <c r="C978" s="501"/>
      <c r="D978" s="501"/>
      <c r="E978" s="535"/>
      <c r="F978" s="179" t="s">
        <v>185</v>
      </c>
      <c r="G978" s="177">
        <v>66.666666666666671</v>
      </c>
      <c r="H978" s="162">
        <v>100</v>
      </c>
      <c r="I978" s="175">
        <f t="shared" si="58"/>
        <v>5931.2771007387437</v>
      </c>
      <c r="J978" s="175">
        <f t="shared" si="59"/>
        <v>395.41847338258293</v>
      </c>
      <c r="K978" s="176">
        <f t="shared" si="57"/>
        <v>5.2333333333333346E-3</v>
      </c>
    </row>
    <row r="979" spans="1:11" x14ac:dyDescent="0.2">
      <c r="A979" s="500"/>
      <c r="B979" s="501"/>
      <c r="C979" s="501"/>
      <c r="D979" s="501"/>
      <c r="E979" s="535"/>
      <c r="F979" s="179" t="s">
        <v>186</v>
      </c>
      <c r="G979" s="162">
        <v>100</v>
      </c>
      <c r="H979" s="162">
        <v>140</v>
      </c>
      <c r="I979" s="175">
        <f t="shared" si="58"/>
        <v>12946.88400051289</v>
      </c>
      <c r="J979" s="175">
        <f t="shared" si="59"/>
        <v>1294.6884000512889</v>
      </c>
      <c r="K979" s="176">
        <f t="shared" si="57"/>
        <v>1.5386000000000002E-2</v>
      </c>
    </row>
    <row r="980" spans="1:11" x14ac:dyDescent="0.2">
      <c r="A980" s="500"/>
      <c r="B980" s="501"/>
      <c r="C980" s="501"/>
      <c r="D980" s="501"/>
      <c r="E980" s="535"/>
      <c r="F980" s="179" t="s">
        <v>380</v>
      </c>
      <c r="G980" s="177">
        <v>266.66666666666669</v>
      </c>
      <c r="H980" s="162">
        <v>194</v>
      </c>
      <c r="I980" s="175">
        <f t="shared" si="58"/>
        <v>27596.132885019928</v>
      </c>
      <c r="J980" s="175">
        <f t="shared" si="59"/>
        <v>7358.9687693386477</v>
      </c>
      <c r="K980" s="176">
        <f t="shared" si="57"/>
        <v>7.878469333333335E-2</v>
      </c>
    </row>
    <row r="981" spans="1:11" x14ac:dyDescent="0.2">
      <c r="A981" s="500">
        <v>11</v>
      </c>
      <c r="B981" s="501"/>
      <c r="C981" s="501"/>
      <c r="D981" s="501" t="s">
        <v>35</v>
      </c>
      <c r="E981" s="535">
        <f>Assumptions!D71</f>
        <v>9034.3230000000021</v>
      </c>
      <c r="F981" s="170" t="s">
        <v>196</v>
      </c>
      <c r="G981" s="177">
        <v>216.66666666666669</v>
      </c>
      <c r="H981" s="162">
        <v>150</v>
      </c>
      <c r="I981" s="175">
        <f t="shared" si="58"/>
        <v>15194.273346167542</v>
      </c>
      <c r="J981" s="175">
        <f t="shared" si="59"/>
        <v>3292.092558336301</v>
      </c>
      <c r="K981" s="176">
        <f t="shared" si="57"/>
        <v>3.8268750000000011E-2</v>
      </c>
    </row>
    <row r="982" spans="1:11" x14ac:dyDescent="0.2">
      <c r="A982" s="500"/>
      <c r="B982" s="501"/>
      <c r="C982" s="501"/>
      <c r="D982" s="501"/>
      <c r="E982" s="535"/>
      <c r="F982" s="170" t="s">
        <v>172</v>
      </c>
      <c r="G982" s="162">
        <v>100</v>
      </c>
      <c r="H982" s="162">
        <v>675</v>
      </c>
      <c r="I982" s="175">
        <f t="shared" si="58"/>
        <v>497889.49949631683</v>
      </c>
      <c r="J982" s="175">
        <f t="shared" si="59"/>
        <v>49788.949949631686</v>
      </c>
      <c r="K982" s="176">
        <f t="shared" si="57"/>
        <v>0.35766562500000004</v>
      </c>
    </row>
    <row r="983" spans="1:11" x14ac:dyDescent="0.2">
      <c r="A983" s="500"/>
      <c r="B983" s="501"/>
      <c r="C983" s="501"/>
      <c r="D983" s="501"/>
      <c r="E983" s="535"/>
      <c r="F983" s="179" t="s">
        <v>188</v>
      </c>
      <c r="G983" s="177">
        <v>16.666666666666668</v>
      </c>
      <c r="H983" s="162">
        <v>190</v>
      </c>
      <c r="I983" s="175">
        <f t="shared" si="58"/>
        <v>26293.994534944566</v>
      </c>
      <c r="J983" s="175">
        <f t="shared" si="59"/>
        <v>438.23324224907611</v>
      </c>
      <c r="K983" s="176">
        <f t="shared" si="57"/>
        <v>4.7230833333333343E-3</v>
      </c>
    </row>
    <row r="984" spans="1:11" x14ac:dyDescent="0.2">
      <c r="A984" s="162">
        <v>12</v>
      </c>
      <c r="B984" s="75"/>
      <c r="C984" s="75"/>
      <c r="D984" s="75" t="s">
        <v>37</v>
      </c>
      <c r="E984" s="481">
        <f>Assumptions!D72</f>
        <v>2315.3180000000002</v>
      </c>
      <c r="F984" s="170" t="s">
        <v>323</v>
      </c>
      <c r="G984" s="162">
        <v>0</v>
      </c>
      <c r="H984" s="162">
        <v>0</v>
      </c>
      <c r="I984" s="175">
        <v>0</v>
      </c>
      <c r="J984" s="175">
        <v>0</v>
      </c>
      <c r="K984" s="176">
        <f t="shared" si="57"/>
        <v>0</v>
      </c>
    </row>
    <row r="985" spans="1:11" x14ac:dyDescent="0.2">
      <c r="A985" s="500">
        <v>13</v>
      </c>
      <c r="B985" s="501"/>
      <c r="C985" s="501"/>
      <c r="D985" s="501" t="s">
        <v>35</v>
      </c>
      <c r="E985" s="535">
        <f>Assumptions!D73</f>
        <v>5717.201</v>
      </c>
      <c r="F985" s="179" t="s">
        <v>172</v>
      </c>
      <c r="G985" s="177">
        <v>92.857142857142861</v>
      </c>
      <c r="H985" s="177">
        <v>285.83333333333331</v>
      </c>
      <c r="I985" s="175">
        <f t="shared" si="58"/>
        <v>67815.673899055007</v>
      </c>
      <c r="J985" s="175">
        <f t="shared" ref="J985:J1014" si="60">(I985*G985)/1000</f>
        <v>6297.1697191979656</v>
      </c>
      <c r="K985" s="176">
        <f t="shared" si="57"/>
        <v>5.9553970486111114E-2</v>
      </c>
    </row>
    <row r="986" spans="1:11" x14ac:dyDescent="0.2">
      <c r="A986" s="500"/>
      <c r="B986" s="501"/>
      <c r="C986" s="501"/>
      <c r="D986" s="501"/>
      <c r="E986" s="535"/>
      <c r="F986" s="179" t="s">
        <v>381</v>
      </c>
      <c r="G986" s="177">
        <v>7.1428571428571432</v>
      </c>
      <c r="H986" s="162">
        <v>65</v>
      </c>
      <c r="I986" s="175">
        <f t="shared" si="58"/>
        <v>2183.2687648175429</v>
      </c>
      <c r="J986" s="175">
        <f t="shared" si="60"/>
        <v>15.594776891553877</v>
      </c>
      <c r="K986" s="176">
        <f t="shared" si="57"/>
        <v>2.3690178571428576E-4</v>
      </c>
    </row>
    <row r="987" spans="1:11" x14ac:dyDescent="0.2">
      <c r="A987" s="500"/>
      <c r="B987" s="501"/>
      <c r="C987" s="501"/>
      <c r="D987" s="501"/>
      <c r="E987" s="535"/>
      <c r="F987" s="179" t="s">
        <v>186</v>
      </c>
      <c r="G987" s="177">
        <v>21.428571428571431</v>
      </c>
      <c r="H987" s="162">
        <v>66</v>
      </c>
      <c r="I987" s="175">
        <f t="shared" si="58"/>
        <v>2261.9872080308614</v>
      </c>
      <c r="J987" s="175">
        <f t="shared" si="60"/>
        <v>48.471154457804182</v>
      </c>
      <c r="K987" s="176">
        <f t="shared" si="57"/>
        <v>7.3274142857142875E-4</v>
      </c>
    </row>
    <row r="988" spans="1:11" ht="26" x14ac:dyDescent="0.2">
      <c r="A988" s="7">
        <v>14</v>
      </c>
      <c r="B988" s="6"/>
      <c r="C988" s="6"/>
      <c r="D988" s="6" t="s">
        <v>35</v>
      </c>
      <c r="E988" s="480">
        <f>Assumptions!D74</f>
        <v>3768.0449999999996</v>
      </c>
      <c r="F988" s="179" t="s">
        <v>323</v>
      </c>
      <c r="G988" s="162">
        <v>0</v>
      </c>
      <c r="H988" s="162">
        <v>0</v>
      </c>
      <c r="I988" s="175">
        <v>0</v>
      </c>
      <c r="J988" s="175">
        <f t="shared" si="60"/>
        <v>0</v>
      </c>
      <c r="K988" s="176">
        <f t="shared" si="57"/>
        <v>0</v>
      </c>
    </row>
    <row r="989" spans="1:11" x14ac:dyDescent="0.2">
      <c r="A989" s="500">
        <v>15</v>
      </c>
      <c r="B989" s="501"/>
      <c r="C989" s="501"/>
      <c r="D989" s="501" t="s">
        <v>34</v>
      </c>
      <c r="E989" s="535">
        <f>Assumptions!D75</f>
        <v>236.66199999999998</v>
      </c>
      <c r="F989" s="179" t="s">
        <v>292</v>
      </c>
      <c r="G989" s="162">
        <v>175</v>
      </c>
      <c r="H989" s="162">
        <v>80</v>
      </c>
      <c r="I989" s="175">
        <f t="shared" si="58"/>
        <v>3534.4104610532568</v>
      </c>
      <c r="J989" s="175">
        <f t="shared" si="60"/>
        <v>618.52183068431998</v>
      </c>
      <c r="K989" s="176">
        <f t="shared" si="57"/>
        <v>8.7920000000000012E-3</v>
      </c>
    </row>
    <row r="990" spans="1:11" x14ac:dyDescent="0.2">
      <c r="A990" s="500"/>
      <c r="B990" s="501"/>
      <c r="C990" s="501"/>
      <c r="D990" s="501"/>
      <c r="E990" s="535"/>
      <c r="F990" s="170" t="s">
        <v>382</v>
      </c>
      <c r="G990" s="162">
        <v>62.5</v>
      </c>
      <c r="H990" s="162">
        <v>312</v>
      </c>
      <c r="I990" s="175">
        <f t="shared" si="58"/>
        <v>83097.292220184449</v>
      </c>
      <c r="J990" s="175">
        <f t="shared" si="60"/>
        <v>5193.580763761528</v>
      </c>
      <c r="K990" s="176">
        <f t="shared" si="57"/>
        <v>4.77594E-2</v>
      </c>
    </row>
    <row r="991" spans="1:11" x14ac:dyDescent="0.2">
      <c r="A991" s="500"/>
      <c r="B991" s="501"/>
      <c r="C991" s="501"/>
      <c r="D991" s="501"/>
      <c r="E991" s="535"/>
      <c r="F991" s="179" t="s">
        <v>302</v>
      </c>
      <c r="G991" s="162">
        <v>100</v>
      </c>
      <c r="H991" s="162">
        <v>126</v>
      </c>
      <c r="I991" s="175">
        <f t="shared" si="58"/>
        <v>10139.297798715103</v>
      </c>
      <c r="J991" s="175">
        <f t="shared" si="60"/>
        <v>1013.9297798715103</v>
      </c>
      <c r="K991" s="176">
        <f t="shared" si="57"/>
        <v>1.246266E-2</v>
      </c>
    </row>
    <row r="992" spans="1:11" x14ac:dyDescent="0.2">
      <c r="A992" s="500"/>
      <c r="B992" s="501"/>
      <c r="C992" s="501"/>
      <c r="D992" s="501"/>
      <c r="E992" s="535"/>
      <c r="F992" s="179" t="s">
        <v>368</v>
      </c>
      <c r="G992" s="162">
        <v>12.5</v>
      </c>
      <c r="H992" s="162">
        <v>75</v>
      </c>
      <c r="I992" s="175">
        <f t="shared" si="58"/>
        <v>3042.9186723694179</v>
      </c>
      <c r="J992" s="175">
        <f t="shared" si="60"/>
        <v>38.036483404617719</v>
      </c>
      <c r="K992" s="176">
        <f t="shared" si="57"/>
        <v>5.5195312500000003E-4</v>
      </c>
    </row>
    <row r="993" spans="1:11" x14ac:dyDescent="0.2">
      <c r="A993" s="500"/>
      <c r="B993" s="501"/>
      <c r="C993" s="501"/>
      <c r="D993" s="501"/>
      <c r="E993" s="535"/>
      <c r="F993" s="179" t="s">
        <v>380</v>
      </c>
      <c r="G993" s="162">
        <v>75</v>
      </c>
      <c r="H993" s="162">
        <v>275</v>
      </c>
      <c r="I993" s="175">
        <f t="shared" si="58"/>
        <v>62001.195530197787</v>
      </c>
      <c r="J993" s="175">
        <f t="shared" si="60"/>
        <v>4650.0896647648333</v>
      </c>
      <c r="K993" s="176">
        <f t="shared" si="57"/>
        <v>4.4524218750000011E-2</v>
      </c>
    </row>
    <row r="994" spans="1:11" x14ac:dyDescent="0.2">
      <c r="A994" s="500"/>
      <c r="B994" s="501"/>
      <c r="C994" s="501"/>
      <c r="D994" s="501"/>
      <c r="E994" s="535"/>
      <c r="F994" s="179" t="s">
        <v>301</v>
      </c>
      <c r="G994" s="162">
        <v>87.5</v>
      </c>
      <c r="H994" s="162">
        <v>121</v>
      </c>
      <c r="I994" s="175">
        <f t="shared" si="58"/>
        <v>9230.1821861920198</v>
      </c>
      <c r="J994" s="175">
        <f t="shared" si="60"/>
        <v>807.64094129180171</v>
      </c>
      <c r="K994" s="176">
        <f t="shared" si="57"/>
        <v>1.0056536875000001E-2</v>
      </c>
    </row>
    <row r="995" spans="1:11" x14ac:dyDescent="0.2">
      <c r="A995" s="500">
        <v>16</v>
      </c>
      <c r="B995" s="501"/>
      <c r="C995" s="501"/>
      <c r="D995" s="501" t="s">
        <v>35</v>
      </c>
      <c r="E995" s="535">
        <f>Assumptions!D76</f>
        <v>6640.8160000000016</v>
      </c>
      <c r="F995" s="179" t="s">
        <v>178</v>
      </c>
      <c r="G995" s="162">
        <v>50</v>
      </c>
      <c r="H995" s="162">
        <v>88</v>
      </c>
      <c r="I995" s="175">
        <f t="shared" si="58"/>
        <v>4409.0803513688588</v>
      </c>
      <c r="J995" s="175">
        <f t="shared" si="60"/>
        <v>220.45401756844294</v>
      </c>
      <c r="K995" s="176">
        <f t="shared" ref="K995:K1027" si="61">0.00000001*3.14*(H995/2)^2*G995</f>
        <v>3.0395200000000004E-3</v>
      </c>
    </row>
    <row r="996" spans="1:11" x14ac:dyDescent="0.2">
      <c r="A996" s="500"/>
      <c r="B996" s="501"/>
      <c r="C996" s="501"/>
      <c r="D996" s="501"/>
      <c r="E996" s="535"/>
      <c r="F996" s="179" t="s">
        <v>173</v>
      </c>
      <c r="G996" s="162">
        <v>150</v>
      </c>
      <c r="H996" s="162">
        <v>68</v>
      </c>
      <c r="I996" s="175">
        <f t="shared" ref="I996:I997" si="62">EXP(-1.996+2.32*LN(H996))</f>
        <v>2424.2024823145712</v>
      </c>
      <c r="J996" s="175">
        <f t="shared" si="60"/>
        <v>363.6303723471857</v>
      </c>
      <c r="K996" s="176">
        <f t="shared" si="61"/>
        <v>5.4447600000000007E-3</v>
      </c>
    </row>
    <row r="997" spans="1:11" x14ac:dyDescent="0.2">
      <c r="A997" s="500"/>
      <c r="B997" s="501"/>
      <c r="C997" s="501"/>
      <c r="D997" s="501"/>
      <c r="E997" s="535"/>
      <c r="F997" s="179" t="s">
        <v>379</v>
      </c>
      <c r="G997" s="162">
        <v>150</v>
      </c>
      <c r="H997" s="162">
        <v>230</v>
      </c>
      <c r="I997" s="175">
        <f t="shared" si="62"/>
        <v>40959.702508126167</v>
      </c>
      <c r="J997" s="175">
        <f t="shared" si="60"/>
        <v>6143.9553762189253</v>
      </c>
      <c r="K997" s="176">
        <f t="shared" si="61"/>
        <v>6.2289750000000012E-2</v>
      </c>
    </row>
    <row r="998" spans="1:11" x14ac:dyDescent="0.2">
      <c r="A998" s="162">
        <v>17</v>
      </c>
      <c r="B998" s="75"/>
      <c r="C998" s="75"/>
      <c r="D998" s="75" t="s">
        <v>36</v>
      </c>
      <c r="E998" s="481">
        <f>Assumptions!D77</f>
        <v>837.08299999999997</v>
      </c>
      <c r="F998" s="179" t="s">
        <v>323</v>
      </c>
      <c r="G998" s="162">
        <v>0</v>
      </c>
      <c r="H998" s="162">
        <v>0</v>
      </c>
      <c r="I998" s="175">
        <v>0</v>
      </c>
      <c r="J998" s="175">
        <f t="shared" si="60"/>
        <v>0</v>
      </c>
      <c r="K998" s="176">
        <f t="shared" si="61"/>
        <v>0</v>
      </c>
    </row>
    <row r="999" spans="1:11" x14ac:dyDescent="0.2">
      <c r="A999" s="500">
        <v>18</v>
      </c>
      <c r="B999" s="501"/>
      <c r="C999" s="501"/>
      <c r="D999" s="501" t="s">
        <v>34</v>
      </c>
      <c r="E999" s="535">
        <f>Assumptions!D78</f>
        <v>1849.3409999999997</v>
      </c>
      <c r="F999" s="173" t="s">
        <v>308</v>
      </c>
      <c r="G999" s="75">
        <v>1000</v>
      </c>
      <c r="H999" s="162">
        <v>66</v>
      </c>
      <c r="I999" s="175">
        <f t="shared" ref="I999:I1027" si="63">EXP(-1.996+2.32*LN(H999))</f>
        <v>2261.9872080308614</v>
      </c>
      <c r="J999" s="175">
        <f t="shared" si="60"/>
        <v>2261.9872080308614</v>
      </c>
      <c r="K999" s="176">
        <f t="shared" si="61"/>
        <v>3.4194600000000006E-2</v>
      </c>
    </row>
    <row r="1000" spans="1:11" x14ac:dyDescent="0.2">
      <c r="A1000" s="500"/>
      <c r="B1000" s="501"/>
      <c r="C1000" s="501"/>
      <c r="D1000" s="501"/>
      <c r="E1000" s="535"/>
      <c r="F1000" s="173" t="s">
        <v>309</v>
      </c>
      <c r="G1000" s="75">
        <v>250</v>
      </c>
      <c r="H1000" s="162">
        <v>76</v>
      </c>
      <c r="I1000" s="175">
        <f t="shared" si="63"/>
        <v>3137.8757884039705</v>
      </c>
      <c r="J1000" s="175">
        <f t="shared" si="60"/>
        <v>784.46894710099264</v>
      </c>
      <c r="K1000" s="176">
        <f t="shared" si="61"/>
        <v>1.1335400000000002E-2</v>
      </c>
    </row>
    <row r="1001" spans="1:11" x14ac:dyDescent="0.2">
      <c r="A1001" s="500"/>
      <c r="B1001" s="501"/>
      <c r="C1001" s="501"/>
      <c r="D1001" s="501"/>
      <c r="E1001" s="535"/>
      <c r="F1001" s="173" t="s">
        <v>310</v>
      </c>
      <c r="G1001" s="75">
        <v>50</v>
      </c>
      <c r="H1001" s="162">
        <v>80</v>
      </c>
      <c r="I1001" s="175">
        <f t="shared" si="63"/>
        <v>3534.4104610532568</v>
      </c>
      <c r="J1001" s="175">
        <f t="shared" si="60"/>
        <v>176.72052305266286</v>
      </c>
      <c r="K1001" s="176">
        <f t="shared" si="61"/>
        <v>2.5120000000000003E-3</v>
      </c>
    </row>
    <row r="1002" spans="1:11" x14ac:dyDescent="0.2">
      <c r="A1002" s="500"/>
      <c r="B1002" s="501"/>
      <c r="C1002" s="501"/>
      <c r="D1002" s="501"/>
      <c r="E1002" s="535"/>
      <c r="F1002" s="173" t="s">
        <v>185</v>
      </c>
      <c r="G1002" s="75">
        <v>50</v>
      </c>
      <c r="H1002" s="162">
        <v>100</v>
      </c>
      <c r="I1002" s="175">
        <f t="shared" si="63"/>
        <v>5931.2771007387437</v>
      </c>
      <c r="J1002" s="175">
        <f t="shared" si="60"/>
        <v>296.56385503693718</v>
      </c>
      <c r="K1002" s="176">
        <f t="shared" si="61"/>
        <v>3.9250000000000005E-3</v>
      </c>
    </row>
    <row r="1003" spans="1:11" x14ac:dyDescent="0.2">
      <c r="A1003" s="500"/>
      <c r="B1003" s="501"/>
      <c r="C1003" s="501"/>
      <c r="D1003" s="501"/>
      <c r="E1003" s="535"/>
      <c r="F1003" s="173" t="s">
        <v>311</v>
      </c>
      <c r="G1003" s="75">
        <v>250</v>
      </c>
      <c r="H1003" s="162">
        <v>70</v>
      </c>
      <c r="I1003" s="175">
        <f t="shared" si="63"/>
        <v>2592.8396953644792</v>
      </c>
      <c r="J1003" s="175">
        <f t="shared" si="60"/>
        <v>648.20992384111992</v>
      </c>
      <c r="K1003" s="176">
        <f t="shared" si="61"/>
        <v>9.6162500000000015E-3</v>
      </c>
    </row>
    <row r="1004" spans="1:11" x14ac:dyDescent="0.2">
      <c r="A1004" s="500"/>
      <c r="B1004" s="501"/>
      <c r="C1004" s="501"/>
      <c r="D1004" s="501"/>
      <c r="E1004" s="535"/>
      <c r="F1004" s="173" t="s">
        <v>295</v>
      </c>
      <c r="G1004" s="75">
        <v>100</v>
      </c>
      <c r="H1004" s="162">
        <v>85</v>
      </c>
      <c r="I1004" s="175">
        <f t="shared" si="63"/>
        <v>4068.1796382589846</v>
      </c>
      <c r="J1004" s="175">
        <f t="shared" si="60"/>
        <v>406.81796382589846</v>
      </c>
      <c r="K1004" s="176">
        <f t="shared" si="61"/>
        <v>5.6716250000000005E-3</v>
      </c>
    </row>
    <row r="1005" spans="1:11" x14ac:dyDescent="0.2">
      <c r="A1005" s="500"/>
      <c r="B1005" s="501"/>
      <c r="C1005" s="501"/>
      <c r="D1005" s="501"/>
      <c r="E1005" s="535"/>
      <c r="F1005" s="173" t="s">
        <v>312</v>
      </c>
      <c r="G1005" s="75">
        <v>1000</v>
      </c>
      <c r="H1005" s="162">
        <v>80</v>
      </c>
      <c r="I1005" s="175">
        <f t="shared" si="63"/>
        <v>3534.4104610532568</v>
      </c>
      <c r="J1005" s="175">
        <f t="shared" si="60"/>
        <v>3534.4104610532568</v>
      </c>
      <c r="K1005" s="176">
        <f t="shared" si="61"/>
        <v>5.0240000000000007E-2</v>
      </c>
    </row>
    <row r="1006" spans="1:11" x14ac:dyDescent="0.2">
      <c r="A1006" s="500"/>
      <c r="B1006" s="501"/>
      <c r="C1006" s="501"/>
      <c r="D1006" s="501"/>
      <c r="E1006" s="535"/>
      <c r="F1006" s="173" t="s">
        <v>313</v>
      </c>
      <c r="G1006" s="75">
        <v>250</v>
      </c>
      <c r="H1006" s="162">
        <v>190</v>
      </c>
      <c r="I1006" s="175">
        <f t="shared" si="63"/>
        <v>26293.994534944566</v>
      </c>
      <c r="J1006" s="175">
        <f t="shared" si="60"/>
        <v>6573.4986337361415</v>
      </c>
      <c r="K1006" s="176">
        <f t="shared" si="61"/>
        <v>7.0846250000000013E-2</v>
      </c>
    </row>
    <row r="1007" spans="1:11" x14ac:dyDescent="0.2">
      <c r="A1007" s="500"/>
      <c r="B1007" s="501"/>
      <c r="C1007" s="501"/>
      <c r="D1007" s="501"/>
      <c r="E1007" s="535"/>
      <c r="F1007" s="173" t="s">
        <v>314</v>
      </c>
      <c r="G1007" s="75">
        <v>150</v>
      </c>
      <c r="H1007" s="162">
        <v>113</v>
      </c>
      <c r="I1007" s="175">
        <f t="shared" si="63"/>
        <v>7875.7188290908325</v>
      </c>
      <c r="J1007" s="175">
        <f t="shared" si="60"/>
        <v>1181.357824363625</v>
      </c>
      <c r="K1007" s="176">
        <f t="shared" si="61"/>
        <v>1.5035497500000002E-2</v>
      </c>
    </row>
    <row r="1008" spans="1:11" x14ac:dyDescent="0.2">
      <c r="A1008" s="500"/>
      <c r="B1008" s="501"/>
      <c r="C1008" s="501"/>
      <c r="D1008" s="501"/>
      <c r="E1008" s="535"/>
      <c r="F1008" s="173" t="s">
        <v>315</v>
      </c>
      <c r="G1008" s="75">
        <v>1100</v>
      </c>
      <c r="H1008" s="162">
        <v>316</v>
      </c>
      <c r="I1008" s="175">
        <f t="shared" si="63"/>
        <v>85589.846164607719</v>
      </c>
      <c r="J1008" s="175">
        <f t="shared" si="60"/>
        <v>94148.830781068493</v>
      </c>
      <c r="K1008" s="176">
        <f t="shared" si="61"/>
        <v>0.86225656000000006</v>
      </c>
    </row>
    <row r="1009" spans="1:11" x14ac:dyDescent="0.2">
      <c r="A1009" s="500"/>
      <c r="B1009" s="501"/>
      <c r="C1009" s="501"/>
      <c r="D1009" s="501"/>
      <c r="E1009" s="535"/>
      <c r="F1009" s="173" t="s">
        <v>316</v>
      </c>
      <c r="G1009" s="75">
        <v>250</v>
      </c>
      <c r="H1009" s="162">
        <v>310</v>
      </c>
      <c r="I1009" s="175">
        <f t="shared" si="63"/>
        <v>81866.711166509587</v>
      </c>
      <c r="J1009" s="175">
        <f t="shared" si="60"/>
        <v>20466.677791627397</v>
      </c>
      <c r="K1009" s="176">
        <f t="shared" si="61"/>
        <v>0.18859625000000002</v>
      </c>
    </row>
    <row r="1010" spans="1:11" x14ac:dyDescent="0.2">
      <c r="A1010" s="500"/>
      <c r="B1010" s="501"/>
      <c r="C1010" s="501"/>
      <c r="D1010" s="501"/>
      <c r="E1010" s="535"/>
      <c r="F1010" s="173" t="s">
        <v>317</v>
      </c>
      <c r="G1010" s="75">
        <v>250</v>
      </c>
      <c r="H1010" s="162">
        <v>309</v>
      </c>
      <c r="I1010" s="175">
        <f t="shared" si="63"/>
        <v>81255.335229785807</v>
      </c>
      <c r="J1010" s="175">
        <f t="shared" si="60"/>
        <v>20313.833807446448</v>
      </c>
      <c r="K1010" s="176">
        <f t="shared" si="61"/>
        <v>0.18738146250000001</v>
      </c>
    </row>
    <row r="1011" spans="1:11" x14ac:dyDescent="0.2">
      <c r="A1011" s="500"/>
      <c r="B1011" s="501"/>
      <c r="C1011" s="501"/>
      <c r="D1011" s="501"/>
      <c r="E1011" s="535"/>
      <c r="F1011" s="173" t="s">
        <v>172</v>
      </c>
      <c r="G1011" s="75">
        <v>550</v>
      </c>
      <c r="H1011" s="162">
        <v>182</v>
      </c>
      <c r="I1011" s="175">
        <f t="shared" si="63"/>
        <v>23796.541025114147</v>
      </c>
      <c r="J1011" s="175">
        <f t="shared" si="60"/>
        <v>13088.097563812782</v>
      </c>
      <c r="K1011" s="176">
        <f t="shared" si="61"/>
        <v>0.14301287000000001</v>
      </c>
    </row>
    <row r="1012" spans="1:11" x14ac:dyDescent="0.2">
      <c r="A1012" s="500"/>
      <c r="B1012" s="501"/>
      <c r="C1012" s="501"/>
      <c r="D1012" s="501"/>
      <c r="E1012" s="535"/>
      <c r="F1012" s="173" t="s">
        <v>318</v>
      </c>
      <c r="G1012" s="75">
        <v>525</v>
      </c>
      <c r="H1012" s="162">
        <v>170</v>
      </c>
      <c r="I1012" s="175">
        <f t="shared" si="63"/>
        <v>20313.731683432794</v>
      </c>
      <c r="J1012" s="175">
        <f t="shared" si="60"/>
        <v>10664.709133802216</v>
      </c>
      <c r="K1012" s="176">
        <f t="shared" si="61"/>
        <v>0.11910412500000002</v>
      </c>
    </row>
    <row r="1013" spans="1:11" x14ac:dyDescent="0.2">
      <c r="A1013" s="500"/>
      <c r="B1013" s="501"/>
      <c r="C1013" s="501"/>
      <c r="D1013" s="501"/>
      <c r="E1013" s="535"/>
      <c r="F1013" s="173" t="s">
        <v>319</v>
      </c>
      <c r="G1013" s="75">
        <v>225</v>
      </c>
      <c r="H1013" s="162">
        <v>280</v>
      </c>
      <c r="I1013" s="175">
        <f t="shared" si="63"/>
        <v>64647.96324370311</v>
      </c>
      <c r="J1013" s="175">
        <f t="shared" si="60"/>
        <v>14545.791729833201</v>
      </c>
      <c r="K1013" s="176">
        <f t="shared" si="61"/>
        <v>0.13847400000000001</v>
      </c>
    </row>
    <row r="1014" spans="1:11" x14ac:dyDescent="0.2">
      <c r="A1014" s="500"/>
      <c r="B1014" s="501"/>
      <c r="C1014" s="501"/>
      <c r="D1014" s="501"/>
      <c r="E1014" s="535"/>
      <c r="F1014" s="173" t="s">
        <v>320</v>
      </c>
      <c r="G1014" s="75">
        <v>50</v>
      </c>
      <c r="H1014" s="162">
        <v>310</v>
      </c>
      <c r="I1014" s="175">
        <f t="shared" si="63"/>
        <v>81866.711166509587</v>
      </c>
      <c r="J1014" s="175">
        <f t="shared" si="60"/>
        <v>4093.3355583254793</v>
      </c>
      <c r="K1014" s="176">
        <f t="shared" si="61"/>
        <v>3.7719250000000003E-2</v>
      </c>
    </row>
    <row r="1015" spans="1:11" x14ac:dyDescent="0.2">
      <c r="A1015" s="162">
        <v>19</v>
      </c>
      <c r="B1015" s="180"/>
      <c r="C1015" s="180"/>
      <c r="D1015" s="180" t="s">
        <v>37</v>
      </c>
      <c r="E1015" s="481">
        <f>Assumptions!D79</f>
        <v>7884.7310000000007</v>
      </c>
      <c r="F1015" s="173" t="s">
        <v>323</v>
      </c>
      <c r="G1015" s="162">
        <v>0</v>
      </c>
      <c r="H1015" s="162">
        <v>0</v>
      </c>
      <c r="I1015" s="175">
        <v>0</v>
      </c>
      <c r="J1015" s="175">
        <v>0</v>
      </c>
      <c r="K1015" s="176">
        <f t="shared" si="61"/>
        <v>0</v>
      </c>
    </row>
    <row r="1016" spans="1:11" x14ac:dyDescent="0.2">
      <c r="A1016" s="162">
        <v>20</v>
      </c>
      <c r="B1016" s="180"/>
      <c r="C1016" s="180"/>
      <c r="D1016" s="180" t="s">
        <v>36</v>
      </c>
      <c r="E1016" s="481">
        <f>Assumptions!D80</f>
        <v>2195.1750000000002</v>
      </c>
      <c r="F1016" s="173" t="s">
        <v>323</v>
      </c>
      <c r="G1016" s="162">
        <v>0</v>
      </c>
      <c r="H1016" s="162">
        <v>0</v>
      </c>
      <c r="I1016" s="175">
        <v>0</v>
      </c>
      <c r="J1016" s="175">
        <v>0</v>
      </c>
      <c r="K1016" s="176">
        <f t="shared" si="61"/>
        <v>0</v>
      </c>
    </row>
    <row r="1017" spans="1:11" x14ac:dyDescent="0.2">
      <c r="A1017" s="162">
        <v>21</v>
      </c>
      <c r="B1017" s="180"/>
      <c r="C1017" s="180"/>
      <c r="D1017" s="180" t="s">
        <v>37</v>
      </c>
      <c r="E1017" s="481">
        <f>Assumptions!D81</f>
        <v>454.25200000000001</v>
      </c>
      <c r="F1017" s="173" t="s">
        <v>323</v>
      </c>
      <c r="G1017" s="162">
        <v>0</v>
      </c>
      <c r="H1017" s="162">
        <v>0</v>
      </c>
      <c r="I1017" s="175">
        <v>0</v>
      </c>
      <c r="J1017" s="175">
        <v>0</v>
      </c>
      <c r="K1017" s="176">
        <f t="shared" si="61"/>
        <v>0</v>
      </c>
    </row>
    <row r="1018" spans="1:11" x14ac:dyDescent="0.2">
      <c r="A1018" s="500">
        <v>22</v>
      </c>
      <c r="B1018" s="501"/>
      <c r="C1018" s="501"/>
      <c r="D1018" s="501" t="s">
        <v>35</v>
      </c>
      <c r="E1018" s="535">
        <f>Assumptions!D82</f>
        <v>18064.454000000005</v>
      </c>
      <c r="F1018" s="179" t="s">
        <v>383</v>
      </c>
      <c r="G1018" s="162">
        <v>25</v>
      </c>
      <c r="H1018" s="162">
        <v>45</v>
      </c>
      <c r="I1018" s="175">
        <f t="shared" si="63"/>
        <v>930.2533573158986</v>
      </c>
      <c r="J1018" s="175">
        <f t="shared" ref="J1018:J1027" si="64">(I1018*G1018)/1000</f>
        <v>23.256333932897466</v>
      </c>
      <c r="K1018" s="176">
        <f t="shared" si="61"/>
        <v>3.9740625000000008E-4</v>
      </c>
    </row>
    <row r="1019" spans="1:11" x14ac:dyDescent="0.2">
      <c r="A1019" s="500"/>
      <c r="B1019" s="501"/>
      <c r="C1019" s="501"/>
      <c r="D1019" s="501"/>
      <c r="E1019" s="535"/>
      <c r="F1019" s="179" t="s">
        <v>172</v>
      </c>
      <c r="G1019" s="162">
        <v>50</v>
      </c>
      <c r="H1019" s="162">
        <v>180</v>
      </c>
      <c r="I1019" s="175">
        <f t="shared" si="63"/>
        <v>23194.254916185942</v>
      </c>
      <c r="J1019" s="175">
        <f t="shared" si="64"/>
        <v>1159.7127458092971</v>
      </c>
      <c r="K1019" s="176">
        <f t="shared" si="61"/>
        <v>1.2717000000000003E-2</v>
      </c>
    </row>
    <row r="1020" spans="1:11" x14ac:dyDescent="0.2">
      <c r="A1020" s="500"/>
      <c r="B1020" s="501"/>
      <c r="C1020" s="501"/>
      <c r="D1020" s="501"/>
      <c r="E1020" s="535"/>
      <c r="F1020" s="179" t="s">
        <v>186</v>
      </c>
      <c r="G1020" s="162">
        <v>50</v>
      </c>
      <c r="H1020" s="162">
        <v>65</v>
      </c>
      <c r="I1020" s="175">
        <f t="shared" si="63"/>
        <v>2183.2687648175429</v>
      </c>
      <c r="J1020" s="175">
        <f t="shared" si="64"/>
        <v>109.16343824087716</v>
      </c>
      <c r="K1020" s="176">
        <f t="shared" si="61"/>
        <v>1.6583125000000003E-3</v>
      </c>
    </row>
    <row r="1021" spans="1:11" x14ac:dyDescent="0.2">
      <c r="A1021" s="500"/>
      <c r="B1021" s="501"/>
      <c r="C1021" s="501"/>
      <c r="D1021" s="501"/>
      <c r="E1021" s="535"/>
      <c r="F1021" s="179" t="s">
        <v>182</v>
      </c>
      <c r="G1021" s="162">
        <v>50</v>
      </c>
      <c r="H1021" s="162">
        <v>280</v>
      </c>
      <c r="I1021" s="175">
        <f t="shared" si="63"/>
        <v>64647.96324370311</v>
      </c>
      <c r="J1021" s="175">
        <f t="shared" si="64"/>
        <v>3232.3981621851553</v>
      </c>
      <c r="K1021" s="176">
        <f t="shared" si="61"/>
        <v>3.0772000000000004E-2</v>
      </c>
    </row>
    <row r="1022" spans="1:11" x14ac:dyDescent="0.2">
      <c r="A1022" s="500"/>
      <c r="B1022" s="501"/>
      <c r="C1022" s="501"/>
      <c r="D1022" s="501"/>
      <c r="E1022" s="535"/>
      <c r="F1022" s="179" t="s">
        <v>188</v>
      </c>
      <c r="G1022" s="162">
        <v>150</v>
      </c>
      <c r="H1022" s="177">
        <v>117.77777777777777</v>
      </c>
      <c r="I1022" s="175">
        <f t="shared" si="63"/>
        <v>8669.9221861590595</v>
      </c>
      <c r="J1022" s="175">
        <f t="shared" si="64"/>
        <v>1300.4883279238591</v>
      </c>
      <c r="K1022" s="176">
        <f t="shared" si="61"/>
        <v>1.6333814814814815E-2</v>
      </c>
    </row>
    <row r="1023" spans="1:11" x14ac:dyDescent="0.2">
      <c r="A1023" s="500"/>
      <c r="B1023" s="501"/>
      <c r="C1023" s="501"/>
      <c r="D1023" s="501"/>
      <c r="E1023" s="535"/>
      <c r="F1023" s="179" t="s">
        <v>173</v>
      </c>
      <c r="G1023" s="162">
        <v>400</v>
      </c>
      <c r="H1023" s="177">
        <v>52.38095238095238</v>
      </c>
      <c r="I1023" s="175">
        <f t="shared" si="63"/>
        <v>1323.2151965057787</v>
      </c>
      <c r="J1023" s="175">
        <f t="shared" si="64"/>
        <v>529.28607860231159</v>
      </c>
      <c r="K1023" s="176">
        <f t="shared" si="61"/>
        <v>8.6154195011337881E-3</v>
      </c>
    </row>
    <row r="1024" spans="1:11" x14ac:dyDescent="0.2">
      <c r="A1024" s="500"/>
      <c r="B1024" s="501"/>
      <c r="C1024" s="501"/>
      <c r="D1024" s="501"/>
      <c r="E1024" s="535"/>
      <c r="F1024" s="179" t="s">
        <v>384</v>
      </c>
      <c r="G1024" s="162">
        <v>25</v>
      </c>
      <c r="H1024" s="162">
        <v>110</v>
      </c>
      <c r="I1024" s="175">
        <f t="shared" si="63"/>
        <v>7399.1059079193756</v>
      </c>
      <c r="J1024" s="175">
        <f t="shared" si="64"/>
        <v>184.97764769798439</v>
      </c>
      <c r="K1024" s="176">
        <f t="shared" si="61"/>
        <v>2.3746250000000004E-3</v>
      </c>
    </row>
    <row r="1025" spans="1:11" x14ac:dyDescent="0.2">
      <c r="A1025" s="500"/>
      <c r="B1025" s="501"/>
      <c r="C1025" s="501"/>
      <c r="D1025" s="501"/>
      <c r="E1025" s="535"/>
      <c r="F1025" s="179" t="s">
        <v>196</v>
      </c>
      <c r="G1025" s="162">
        <v>350</v>
      </c>
      <c r="H1025" s="162">
        <v>150</v>
      </c>
      <c r="I1025" s="175">
        <f t="shared" si="63"/>
        <v>15194.273346167542</v>
      </c>
      <c r="J1025" s="175">
        <f t="shared" si="64"/>
        <v>5317.9956711586401</v>
      </c>
      <c r="K1025" s="176">
        <f t="shared" si="61"/>
        <v>6.1818750000000006E-2</v>
      </c>
    </row>
    <row r="1026" spans="1:11" x14ac:dyDescent="0.2">
      <c r="A1026" s="500"/>
      <c r="B1026" s="501"/>
      <c r="C1026" s="501"/>
      <c r="D1026" s="501"/>
      <c r="E1026" s="535"/>
      <c r="F1026" s="179" t="s">
        <v>385</v>
      </c>
      <c r="G1026" s="162">
        <v>100</v>
      </c>
      <c r="H1026" s="162">
        <v>150</v>
      </c>
      <c r="I1026" s="175">
        <f t="shared" si="63"/>
        <v>15194.273346167542</v>
      </c>
      <c r="J1026" s="175">
        <f t="shared" si="64"/>
        <v>1519.4273346167543</v>
      </c>
      <c r="K1026" s="176">
        <f t="shared" si="61"/>
        <v>1.7662500000000001E-2</v>
      </c>
    </row>
    <row r="1027" spans="1:11" x14ac:dyDescent="0.2">
      <c r="A1027" s="500"/>
      <c r="B1027" s="501"/>
      <c r="C1027" s="501"/>
      <c r="D1027" s="501"/>
      <c r="E1027" s="535"/>
      <c r="F1027" s="179" t="s">
        <v>379</v>
      </c>
      <c r="G1027" s="162">
        <v>25</v>
      </c>
      <c r="H1027" s="162">
        <v>230</v>
      </c>
      <c r="I1027" s="175">
        <f t="shared" si="63"/>
        <v>40959.702508126167</v>
      </c>
      <c r="J1027" s="175">
        <f t="shared" si="64"/>
        <v>1023.9925627031541</v>
      </c>
      <c r="K1027" s="176">
        <f t="shared" si="61"/>
        <v>1.0381625000000002E-2</v>
      </c>
    </row>
    <row r="1028" spans="1:11" x14ac:dyDescent="0.2">
      <c r="E1028" s="81"/>
    </row>
  </sheetData>
  <mergeCells count="693">
    <mergeCell ref="A3:A15"/>
    <mergeCell ref="B3:B15"/>
    <mergeCell ref="C3:C15"/>
    <mergeCell ref="A16:A19"/>
    <mergeCell ref="B16:B19"/>
    <mergeCell ref="C16:C19"/>
    <mergeCell ref="C69:C71"/>
    <mergeCell ref="A45:A49"/>
    <mergeCell ref="B45:B49"/>
    <mergeCell ref="C45:C49"/>
    <mergeCell ref="A50:A63"/>
    <mergeCell ref="B50:B63"/>
    <mergeCell ref="C50:C63"/>
    <mergeCell ref="A35:A44"/>
    <mergeCell ref="B35:B44"/>
    <mergeCell ref="C35:C44"/>
    <mergeCell ref="A28:A32"/>
    <mergeCell ref="B28:B32"/>
    <mergeCell ref="C28:C32"/>
    <mergeCell ref="A20:A23"/>
    <mergeCell ref="B20:B23"/>
    <mergeCell ref="C20:C23"/>
    <mergeCell ref="A24:A26"/>
    <mergeCell ref="E16:E19"/>
    <mergeCell ref="D16:D19"/>
    <mergeCell ref="A95:A102"/>
    <mergeCell ref="B95:B102"/>
    <mergeCell ref="C95:C102"/>
    <mergeCell ref="D95:D102"/>
    <mergeCell ref="D76:D91"/>
    <mergeCell ref="D69:D71"/>
    <mergeCell ref="A72:A73"/>
    <mergeCell ref="B72:B73"/>
    <mergeCell ref="C72:C73"/>
    <mergeCell ref="A76:A91"/>
    <mergeCell ref="B76:B91"/>
    <mergeCell ref="C76:C91"/>
    <mergeCell ref="D72:D73"/>
    <mergeCell ref="A65:A68"/>
    <mergeCell ref="B65:B68"/>
    <mergeCell ref="C65:C68"/>
    <mergeCell ref="A69:A71"/>
    <mergeCell ref="C24:C26"/>
    <mergeCell ref="E28:E32"/>
    <mergeCell ref="B69:B71"/>
    <mergeCell ref="D28:D32"/>
    <mergeCell ref="E45:E49"/>
    <mergeCell ref="E3:E15"/>
    <mergeCell ref="D3:D15"/>
    <mergeCell ref="E24:E26"/>
    <mergeCell ref="D24:D26"/>
    <mergeCell ref="E20:E23"/>
    <mergeCell ref="D20:D23"/>
    <mergeCell ref="D65:D68"/>
    <mergeCell ref="A107:A119"/>
    <mergeCell ref="B107:B119"/>
    <mergeCell ref="C107:C119"/>
    <mergeCell ref="D107:D119"/>
    <mergeCell ref="E107:E119"/>
    <mergeCell ref="E69:E71"/>
    <mergeCell ref="E72:E73"/>
    <mergeCell ref="E76:E91"/>
    <mergeCell ref="E95:E102"/>
    <mergeCell ref="A105:A106"/>
    <mergeCell ref="B105:B106"/>
    <mergeCell ref="C105:C106"/>
    <mergeCell ref="D105:D106"/>
    <mergeCell ref="D35:D44"/>
    <mergeCell ref="D50:D63"/>
    <mergeCell ref="D45:D49"/>
    <mergeCell ref="B24:B26"/>
    <mergeCell ref="E50:E63"/>
    <mergeCell ref="E65:E68"/>
    <mergeCell ref="A128:A130"/>
    <mergeCell ref="B128:B130"/>
    <mergeCell ref="C128:C130"/>
    <mergeCell ref="D128:D130"/>
    <mergeCell ref="E128:E130"/>
    <mergeCell ref="A132:A136"/>
    <mergeCell ref="B132:B136"/>
    <mergeCell ref="C132:C136"/>
    <mergeCell ref="D132:D136"/>
    <mergeCell ref="E132:E136"/>
    <mergeCell ref="A120:A123"/>
    <mergeCell ref="B120:B123"/>
    <mergeCell ref="C120:C123"/>
    <mergeCell ref="D120:D123"/>
    <mergeCell ref="E120:E123"/>
    <mergeCell ref="A124:A127"/>
    <mergeCell ref="B124:B127"/>
    <mergeCell ref="C124:C127"/>
    <mergeCell ref="D124:D127"/>
    <mergeCell ref="E124:E127"/>
    <mergeCell ref="A139:A148"/>
    <mergeCell ref="B139:B148"/>
    <mergeCell ref="C139:C148"/>
    <mergeCell ref="D139:D148"/>
    <mergeCell ref="E139:E148"/>
    <mergeCell ref="A149:A153"/>
    <mergeCell ref="B149:B153"/>
    <mergeCell ref="C149:C153"/>
    <mergeCell ref="D149:D153"/>
    <mergeCell ref="E149:E153"/>
    <mergeCell ref="A154:A167"/>
    <mergeCell ref="B154:B167"/>
    <mergeCell ref="C154:C167"/>
    <mergeCell ref="D154:D167"/>
    <mergeCell ref="E154:E167"/>
    <mergeCell ref="A169:A172"/>
    <mergeCell ref="B169:B172"/>
    <mergeCell ref="C169:C172"/>
    <mergeCell ref="D169:D172"/>
    <mergeCell ref="E169:E172"/>
    <mergeCell ref="A173:A175"/>
    <mergeCell ref="B173:B175"/>
    <mergeCell ref="C173:C175"/>
    <mergeCell ref="D173:D175"/>
    <mergeCell ref="E173:E175"/>
    <mergeCell ref="A176:A177"/>
    <mergeCell ref="B176:B177"/>
    <mergeCell ref="C176:C177"/>
    <mergeCell ref="D176:D177"/>
    <mergeCell ref="E176:E177"/>
    <mergeCell ref="A180:A195"/>
    <mergeCell ref="B180:B195"/>
    <mergeCell ref="C180:C195"/>
    <mergeCell ref="D180:D195"/>
    <mergeCell ref="E180:E195"/>
    <mergeCell ref="F208:F209"/>
    <mergeCell ref="A210:A222"/>
    <mergeCell ref="B210:B222"/>
    <mergeCell ref="C210:C222"/>
    <mergeCell ref="D210:D222"/>
    <mergeCell ref="E210:E222"/>
    <mergeCell ref="A199:A206"/>
    <mergeCell ref="B199:B206"/>
    <mergeCell ref="C199:C206"/>
    <mergeCell ref="D199:D206"/>
    <mergeCell ref="E199:E206"/>
    <mergeCell ref="A208:A209"/>
    <mergeCell ref="B208:B209"/>
    <mergeCell ref="C208:C209"/>
    <mergeCell ref="D208:D209"/>
    <mergeCell ref="A223:A226"/>
    <mergeCell ref="B223:B226"/>
    <mergeCell ref="C223:C226"/>
    <mergeCell ref="D223:D226"/>
    <mergeCell ref="E223:E226"/>
    <mergeCell ref="A227:A230"/>
    <mergeCell ref="B227:B230"/>
    <mergeCell ref="C227:C230"/>
    <mergeCell ref="D227:D230"/>
    <mergeCell ref="E227:E230"/>
    <mergeCell ref="A231:A233"/>
    <mergeCell ref="B231:B233"/>
    <mergeCell ref="C231:C233"/>
    <mergeCell ref="D231:D233"/>
    <mergeCell ref="E231:E233"/>
    <mergeCell ref="A235:A239"/>
    <mergeCell ref="B235:B239"/>
    <mergeCell ref="C235:C239"/>
    <mergeCell ref="D235:D239"/>
    <mergeCell ref="E235:E239"/>
    <mergeCell ref="A242:A251"/>
    <mergeCell ref="B242:B251"/>
    <mergeCell ref="C242:C251"/>
    <mergeCell ref="D242:D251"/>
    <mergeCell ref="E242:E251"/>
    <mergeCell ref="A252:A256"/>
    <mergeCell ref="B252:B256"/>
    <mergeCell ref="C252:C256"/>
    <mergeCell ref="D252:D256"/>
    <mergeCell ref="E252:E256"/>
    <mergeCell ref="A257:A270"/>
    <mergeCell ref="B257:B270"/>
    <mergeCell ref="C257:C270"/>
    <mergeCell ref="D257:D270"/>
    <mergeCell ref="E257:E270"/>
    <mergeCell ref="A272:A275"/>
    <mergeCell ref="B272:B275"/>
    <mergeCell ref="C272:C275"/>
    <mergeCell ref="D272:D275"/>
    <mergeCell ref="E272:E275"/>
    <mergeCell ref="A276:A278"/>
    <mergeCell ref="B276:B278"/>
    <mergeCell ref="C276:C278"/>
    <mergeCell ref="D276:D278"/>
    <mergeCell ref="E276:E278"/>
    <mergeCell ref="A279:A280"/>
    <mergeCell ref="B279:B280"/>
    <mergeCell ref="C279:C280"/>
    <mergeCell ref="D279:D280"/>
    <mergeCell ref="E279:E280"/>
    <mergeCell ref="A283:A298"/>
    <mergeCell ref="B283:B298"/>
    <mergeCell ref="C283:C298"/>
    <mergeCell ref="D283:D298"/>
    <mergeCell ref="E283:E298"/>
    <mergeCell ref="A302:A309"/>
    <mergeCell ref="B302:B309"/>
    <mergeCell ref="C302:C309"/>
    <mergeCell ref="D302:D309"/>
    <mergeCell ref="E302:E309"/>
    <mergeCell ref="E313:E325"/>
    <mergeCell ref="A326:A329"/>
    <mergeCell ref="B326:B329"/>
    <mergeCell ref="C326:C329"/>
    <mergeCell ref="D326:D329"/>
    <mergeCell ref="E326:E329"/>
    <mergeCell ref="A311:A312"/>
    <mergeCell ref="B311:B312"/>
    <mergeCell ref="C311:C312"/>
    <mergeCell ref="D311:D312"/>
    <mergeCell ref="A313:A325"/>
    <mergeCell ref="B313:B325"/>
    <mergeCell ref="C313:C325"/>
    <mergeCell ref="D313:D325"/>
    <mergeCell ref="A330:A333"/>
    <mergeCell ref="B330:B333"/>
    <mergeCell ref="C330:C333"/>
    <mergeCell ref="D330:D333"/>
    <mergeCell ref="E330:E333"/>
    <mergeCell ref="A334:A336"/>
    <mergeCell ref="B334:B336"/>
    <mergeCell ref="C334:C336"/>
    <mergeCell ref="D334:D336"/>
    <mergeCell ref="E334:E336"/>
    <mergeCell ref="A338:A342"/>
    <mergeCell ref="B338:B342"/>
    <mergeCell ref="C338:C342"/>
    <mergeCell ref="D338:D342"/>
    <mergeCell ref="E338:E342"/>
    <mergeCell ref="A345:A354"/>
    <mergeCell ref="B345:B354"/>
    <mergeCell ref="C345:C354"/>
    <mergeCell ref="D345:D354"/>
    <mergeCell ref="E345:E354"/>
    <mergeCell ref="A355:A359"/>
    <mergeCell ref="B355:B359"/>
    <mergeCell ref="C355:C359"/>
    <mergeCell ref="D355:D359"/>
    <mergeCell ref="E355:E359"/>
    <mergeCell ref="A360:A373"/>
    <mergeCell ref="B360:B373"/>
    <mergeCell ref="C360:C373"/>
    <mergeCell ref="D360:D373"/>
    <mergeCell ref="E360:E373"/>
    <mergeCell ref="A375:A378"/>
    <mergeCell ref="B375:B378"/>
    <mergeCell ref="C375:C378"/>
    <mergeCell ref="D375:D378"/>
    <mergeCell ref="E375:E378"/>
    <mergeCell ref="A379:A381"/>
    <mergeCell ref="B379:B381"/>
    <mergeCell ref="C379:C381"/>
    <mergeCell ref="D379:D381"/>
    <mergeCell ref="E379:E381"/>
    <mergeCell ref="A382:A383"/>
    <mergeCell ref="B382:B383"/>
    <mergeCell ref="C382:C383"/>
    <mergeCell ref="D382:D383"/>
    <mergeCell ref="E382:E383"/>
    <mergeCell ref="A386:A401"/>
    <mergeCell ref="B386:B401"/>
    <mergeCell ref="C386:C401"/>
    <mergeCell ref="D386:D401"/>
    <mergeCell ref="E386:E401"/>
    <mergeCell ref="F414:F415"/>
    <mergeCell ref="A416:A428"/>
    <mergeCell ref="B416:B428"/>
    <mergeCell ref="C416:C428"/>
    <mergeCell ref="D416:D428"/>
    <mergeCell ref="E416:E428"/>
    <mergeCell ref="A405:A412"/>
    <mergeCell ref="B405:B412"/>
    <mergeCell ref="C405:C412"/>
    <mergeCell ref="D405:D412"/>
    <mergeCell ref="E405:E412"/>
    <mergeCell ref="A414:A415"/>
    <mergeCell ref="B414:B415"/>
    <mergeCell ref="C414:C415"/>
    <mergeCell ref="D414:D415"/>
    <mergeCell ref="A429:A432"/>
    <mergeCell ref="B429:B432"/>
    <mergeCell ref="C429:C432"/>
    <mergeCell ref="D429:D432"/>
    <mergeCell ref="E429:E432"/>
    <mergeCell ref="A433:A436"/>
    <mergeCell ref="B433:B436"/>
    <mergeCell ref="C433:C436"/>
    <mergeCell ref="D433:D436"/>
    <mergeCell ref="E433:E436"/>
    <mergeCell ref="A437:A439"/>
    <mergeCell ref="B437:B439"/>
    <mergeCell ref="C437:C439"/>
    <mergeCell ref="D437:D439"/>
    <mergeCell ref="E437:E439"/>
    <mergeCell ref="A441:A445"/>
    <mergeCell ref="B441:B445"/>
    <mergeCell ref="C441:C445"/>
    <mergeCell ref="D441:D445"/>
    <mergeCell ref="E441:E445"/>
    <mergeCell ref="A448:A457"/>
    <mergeCell ref="B448:B457"/>
    <mergeCell ref="C448:C457"/>
    <mergeCell ref="D448:D457"/>
    <mergeCell ref="E448:E457"/>
    <mergeCell ref="A458:A462"/>
    <mergeCell ref="B458:B462"/>
    <mergeCell ref="C458:C462"/>
    <mergeCell ref="D458:D462"/>
    <mergeCell ref="E458:E462"/>
    <mergeCell ref="A463:A476"/>
    <mergeCell ref="B463:B476"/>
    <mergeCell ref="C463:C476"/>
    <mergeCell ref="D463:D476"/>
    <mergeCell ref="E463:E476"/>
    <mergeCell ref="A478:A481"/>
    <mergeCell ref="B478:B481"/>
    <mergeCell ref="C478:C481"/>
    <mergeCell ref="D478:D481"/>
    <mergeCell ref="E478:E481"/>
    <mergeCell ref="A482:A484"/>
    <mergeCell ref="B482:B484"/>
    <mergeCell ref="C482:C484"/>
    <mergeCell ref="D482:D484"/>
    <mergeCell ref="E482:E484"/>
    <mergeCell ref="A485:A486"/>
    <mergeCell ref="B485:B486"/>
    <mergeCell ref="C485:C486"/>
    <mergeCell ref="D485:D486"/>
    <mergeCell ref="E485:E486"/>
    <mergeCell ref="A517:A518"/>
    <mergeCell ref="B517:B518"/>
    <mergeCell ref="C517:C518"/>
    <mergeCell ref="D517:D518"/>
    <mergeCell ref="F517:F518"/>
    <mergeCell ref="G517:G518"/>
    <mergeCell ref="A489:A504"/>
    <mergeCell ref="B489:B504"/>
    <mergeCell ref="C489:C504"/>
    <mergeCell ref="D489:D504"/>
    <mergeCell ref="E489:E504"/>
    <mergeCell ref="A508:A515"/>
    <mergeCell ref="B508:B515"/>
    <mergeCell ref="C508:C515"/>
    <mergeCell ref="D508:D515"/>
    <mergeCell ref="E508:E515"/>
    <mergeCell ref="A519:A531"/>
    <mergeCell ref="B519:B531"/>
    <mergeCell ref="C519:C531"/>
    <mergeCell ref="D519:D531"/>
    <mergeCell ref="E519:E531"/>
    <mergeCell ref="A532:A535"/>
    <mergeCell ref="B532:B535"/>
    <mergeCell ref="C532:C535"/>
    <mergeCell ref="D532:D535"/>
    <mergeCell ref="E532:E535"/>
    <mergeCell ref="A536:A539"/>
    <mergeCell ref="B536:B539"/>
    <mergeCell ref="C536:C539"/>
    <mergeCell ref="D536:D539"/>
    <mergeCell ref="E536:E539"/>
    <mergeCell ref="A540:A542"/>
    <mergeCell ref="B540:B542"/>
    <mergeCell ref="C540:C542"/>
    <mergeCell ref="D540:D542"/>
    <mergeCell ref="E540:E542"/>
    <mergeCell ref="A544:A548"/>
    <mergeCell ref="B544:B548"/>
    <mergeCell ref="C544:C548"/>
    <mergeCell ref="D544:D548"/>
    <mergeCell ref="E544:E548"/>
    <mergeCell ref="A551:A560"/>
    <mergeCell ref="B551:B560"/>
    <mergeCell ref="C551:C560"/>
    <mergeCell ref="D551:D560"/>
    <mergeCell ref="E551:E560"/>
    <mergeCell ref="A561:A565"/>
    <mergeCell ref="B561:B565"/>
    <mergeCell ref="C561:C565"/>
    <mergeCell ref="D561:D565"/>
    <mergeCell ref="E561:E565"/>
    <mergeCell ref="A566:A579"/>
    <mergeCell ref="B566:B579"/>
    <mergeCell ref="C566:C579"/>
    <mergeCell ref="D566:D579"/>
    <mergeCell ref="E566:E579"/>
    <mergeCell ref="A581:A584"/>
    <mergeCell ref="B581:B584"/>
    <mergeCell ref="C581:C584"/>
    <mergeCell ref="D581:D584"/>
    <mergeCell ref="E581:E584"/>
    <mergeCell ref="A585:A587"/>
    <mergeCell ref="B585:B587"/>
    <mergeCell ref="C585:C587"/>
    <mergeCell ref="D585:D587"/>
    <mergeCell ref="E585:E587"/>
    <mergeCell ref="A588:A589"/>
    <mergeCell ref="B588:B589"/>
    <mergeCell ref="C588:C589"/>
    <mergeCell ref="D588:D589"/>
    <mergeCell ref="E588:E589"/>
    <mergeCell ref="A592:A607"/>
    <mergeCell ref="B592:B607"/>
    <mergeCell ref="C592:C607"/>
    <mergeCell ref="D592:D607"/>
    <mergeCell ref="E592:E607"/>
    <mergeCell ref="F620:F621"/>
    <mergeCell ref="A622:A634"/>
    <mergeCell ref="B622:B634"/>
    <mergeCell ref="C622:C634"/>
    <mergeCell ref="D622:D634"/>
    <mergeCell ref="E622:E634"/>
    <mergeCell ref="A611:A618"/>
    <mergeCell ref="B611:B618"/>
    <mergeCell ref="C611:C618"/>
    <mergeCell ref="D611:D618"/>
    <mergeCell ref="E611:E618"/>
    <mergeCell ref="A620:A621"/>
    <mergeCell ref="B620:B621"/>
    <mergeCell ref="C620:C621"/>
    <mergeCell ref="D620:D621"/>
    <mergeCell ref="A635:A638"/>
    <mergeCell ref="B635:B638"/>
    <mergeCell ref="C635:C638"/>
    <mergeCell ref="D635:D638"/>
    <mergeCell ref="E635:E638"/>
    <mergeCell ref="A639:A642"/>
    <mergeCell ref="B639:B642"/>
    <mergeCell ref="C639:C642"/>
    <mergeCell ref="D639:D642"/>
    <mergeCell ref="E639:E642"/>
    <mergeCell ref="A643:A645"/>
    <mergeCell ref="B643:B645"/>
    <mergeCell ref="C643:C645"/>
    <mergeCell ref="D643:D645"/>
    <mergeCell ref="E643:E645"/>
    <mergeCell ref="A647:A651"/>
    <mergeCell ref="B647:B651"/>
    <mergeCell ref="C647:C651"/>
    <mergeCell ref="D647:D651"/>
    <mergeCell ref="E647:E651"/>
    <mergeCell ref="A654:A663"/>
    <mergeCell ref="B654:B663"/>
    <mergeCell ref="C654:C663"/>
    <mergeCell ref="D654:D663"/>
    <mergeCell ref="E654:E663"/>
    <mergeCell ref="A664:A668"/>
    <mergeCell ref="B664:B668"/>
    <mergeCell ref="C664:C668"/>
    <mergeCell ref="D664:D668"/>
    <mergeCell ref="E664:E668"/>
    <mergeCell ref="A669:A682"/>
    <mergeCell ref="B669:B682"/>
    <mergeCell ref="C669:C682"/>
    <mergeCell ref="D669:D682"/>
    <mergeCell ref="E669:E682"/>
    <mergeCell ref="A684:A687"/>
    <mergeCell ref="B684:B687"/>
    <mergeCell ref="C684:C687"/>
    <mergeCell ref="D684:D687"/>
    <mergeCell ref="E684:E687"/>
    <mergeCell ref="A688:A690"/>
    <mergeCell ref="B688:B690"/>
    <mergeCell ref="C688:C690"/>
    <mergeCell ref="D688:D690"/>
    <mergeCell ref="E688:E690"/>
    <mergeCell ref="A691:A692"/>
    <mergeCell ref="B691:B692"/>
    <mergeCell ref="C691:C692"/>
    <mergeCell ref="D691:D692"/>
    <mergeCell ref="E691:E692"/>
    <mergeCell ref="A695:A710"/>
    <mergeCell ref="B695:B710"/>
    <mergeCell ref="C695:C710"/>
    <mergeCell ref="D695:D710"/>
    <mergeCell ref="E695:E710"/>
    <mergeCell ref="A714:A721"/>
    <mergeCell ref="B714:B721"/>
    <mergeCell ref="C714:C721"/>
    <mergeCell ref="D714:D721"/>
    <mergeCell ref="E714:E721"/>
    <mergeCell ref="A723:A724"/>
    <mergeCell ref="B723:B724"/>
    <mergeCell ref="C723:C724"/>
    <mergeCell ref="D723:D724"/>
    <mergeCell ref="F723:F724"/>
    <mergeCell ref="A725:A737"/>
    <mergeCell ref="B725:B737"/>
    <mergeCell ref="C725:C737"/>
    <mergeCell ref="D725:D737"/>
    <mergeCell ref="E725:E737"/>
    <mergeCell ref="A738:A741"/>
    <mergeCell ref="B738:B741"/>
    <mergeCell ref="C738:C741"/>
    <mergeCell ref="D738:D741"/>
    <mergeCell ref="E738:E741"/>
    <mergeCell ref="A742:A745"/>
    <mergeCell ref="B742:B745"/>
    <mergeCell ref="C742:C745"/>
    <mergeCell ref="D742:D745"/>
    <mergeCell ref="E742:E745"/>
    <mergeCell ref="A746:A748"/>
    <mergeCell ref="B746:B748"/>
    <mergeCell ref="C746:C748"/>
    <mergeCell ref="D746:D748"/>
    <mergeCell ref="E746:E748"/>
    <mergeCell ref="A750:A754"/>
    <mergeCell ref="B750:B754"/>
    <mergeCell ref="C750:C754"/>
    <mergeCell ref="D750:D754"/>
    <mergeCell ref="E750:E754"/>
    <mergeCell ref="A757:A766"/>
    <mergeCell ref="B757:B766"/>
    <mergeCell ref="C757:C766"/>
    <mergeCell ref="D757:D766"/>
    <mergeCell ref="E757:E766"/>
    <mergeCell ref="A767:A771"/>
    <mergeCell ref="B767:B771"/>
    <mergeCell ref="C767:C771"/>
    <mergeCell ref="D767:D771"/>
    <mergeCell ref="E767:E771"/>
    <mergeCell ref="A772:A785"/>
    <mergeCell ref="B772:B785"/>
    <mergeCell ref="C772:C785"/>
    <mergeCell ref="D772:D785"/>
    <mergeCell ref="E772:E785"/>
    <mergeCell ref="A787:A790"/>
    <mergeCell ref="B787:B790"/>
    <mergeCell ref="C787:C790"/>
    <mergeCell ref="D787:D790"/>
    <mergeCell ref="E787:E790"/>
    <mergeCell ref="A791:A793"/>
    <mergeCell ref="B791:B793"/>
    <mergeCell ref="C791:C793"/>
    <mergeCell ref="D791:D793"/>
    <mergeCell ref="E791:E793"/>
    <mergeCell ref="A794:A795"/>
    <mergeCell ref="B794:B795"/>
    <mergeCell ref="C794:C795"/>
    <mergeCell ref="D794:D795"/>
    <mergeCell ref="E794:E795"/>
    <mergeCell ref="A798:A813"/>
    <mergeCell ref="B798:B813"/>
    <mergeCell ref="C798:C813"/>
    <mergeCell ref="D798:D813"/>
    <mergeCell ref="E798:E813"/>
    <mergeCell ref="A817:A824"/>
    <mergeCell ref="B817:B824"/>
    <mergeCell ref="C817:C824"/>
    <mergeCell ref="D817:D824"/>
    <mergeCell ref="E817:E824"/>
    <mergeCell ref="A826:A827"/>
    <mergeCell ref="B826:B827"/>
    <mergeCell ref="C826:C827"/>
    <mergeCell ref="D826:D827"/>
    <mergeCell ref="F826:F827"/>
    <mergeCell ref="A828:A840"/>
    <mergeCell ref="B828:B840"/>
    <mergeCell ref="C828:C840"/>
    <mergeCell ref="D828:D840"/>
    <mergeCell ref="E828:E840"/>
    <mergeCell ref="A841:A844"/>
    <mergeCell ref="B841:B844"/>
    <mergeCell ref="C841:C844"/>
    <mergeCell ref="D841:D844"/>
    <mergeCell ref="E841:E844"/>
    <mergeCell ref="A845:A848"/>
    <mergeCell ref="B845:B848"/>
    <mergeCell ref="C845:C848"/>
    <mergeCell ref="D845:D848"/>
    <mergeCell ref="E845:E848"/>
    <mergeCell ref="A849:A851"/>
    <mergeCell ref="B849:B851"/>
    <mergeCell ref="C849:C851"/>
    <mergeCell ref="D849:D851"/>
    <mergeCell ref="E849:E851"/>
    <mergeCell ref="A853:A857"/>
    <mergeCell ref="B853:B857"/>
    <mergeCell ref="C853:C857"/>
    <mergeCell ref="D853:D857"/>
    <mergeCell ref="E853:E857"/>
    <mergeCell ref="A860:A869"/>
    <mergeCell ref="B860:B869"/>
    <mergeCell ref="C860:C869"/>
    <mergeCell ref="D860:D869"/>
    <mergeCell ref="E860:E869"/>
    <mergeCell ref="A870:A874"/>
    <mergeCell ref="B870:B874"/>
    <mergeCell ref="C870:C874"/>
    <mergeCell ref="D870:D874"/>
    <mergeCell ref="E870:E874"/>
    <mergeCell ref="A875:A888"/>
    <mergeCell ref="B875:B888"/>
    <mergeCell ref="C875:C888"/>
    <mergeCell ref="D875:D888"/>
    <mergeCell ref="E875:E888"/>
    <mergeCell ref="A890:A893"/>
    <mergeCell ref="B890:B893"/>
    <mergeCell ref="C890:C893"/>
    <mergeCell ref="D890:D893"/>
    <mergeCell ref="E890:E893"/>
    <mergeCell ref="A894:A896"/>
    <mergeCell ref="B894:B896"/>
    <mergeCell ref="C894:C896"/>
    <mergeCell ref="D894:D896"/>
    <mergeCell ref="E894:E896"/>
    <mergeCell ref="A897:A898"/>
    <mergeCell ref="B897:B898"/>
    <mergeCell ref="C897:C898"/>
    <mergeCell ref="D897:D898"/>
    <mergeCell ref="E897:E898"/>
    <mergeCell ref="A901:A916"/>
    <mergeCell ref="B901:B916"/>
    <mergeCell ref="C901:C916"/>
    <mergeCell ref="D901:D916"/>
    <mergeCell ref="E901:E916"/>
    <mergeCell ref="A920:A927"/>
    <mergeCell ref="B920:B927"/>
    <mergeCell ref="C920:C927"/>
    <mergeCell ref="D920:D927"/>
    <mergeCell ref="E920:E927"/>
    <mergeCell ref="A929:A930"/>
    <mergeCell ref="B929:B930"/>
    <mergeCell ref="C929:C930"/>
    <mergeCell ref="D929:D930"/>
    <mergeCell ref="F929:F930"/>
    <mergeCell ref="A931:A942"/>
    <mergeCell ref="B931:B942"/>
    <mergeCell ref="C931:C942"/>
    <mergeCell ref="D931:D942"/>
    <mergeCell ref="E931:E942"/>
    <mergeCell ref="A943:A948"/>
    <mergeCell ref="B943:B948"/>
    <mergeCell ref="C943:C948"/>
    <mergeCell ref="D943:D948"/>
    <mergeCell ref="E943:E948"/>
    <mergeCell ref="A950:A951"/>
    <mergeCell ref="B950:B951"/>
    <mergeCell ref="C950:C951"/>
    <mergeCell ref="D950:D951"/>
    <mergeCell ref="E950:E951"/>
    <mergeCell ref="A953:A957"/>
    <mergeCell ref="B953:B957"/>
    <mergeCell ref="C953:C957"/>
    <mergeCell ref="D953:D957"/>
    <mergeCell ref="E953:E957"/>
    <mergeCell ref="A960:A972"/>
    <mergeCell ref="B960:B972"/>
    <mergeCell ref="C960:C972"/>
    <mergeCell ref="D960:D972"/>
    <mergeCell ref="E960:E972"/>
    <mergeCell ref="A1:A2"/>
    <mergeCell ref="B1:B2"/>
    <mergeCell ref="C1:C2"/>
    <mergeCell ref="D1:D2"/>
    <mergeCell ref="E35:E44"/>
    <mergeCell ref="A995:A997"/>
    <mergeCell ref="B995:B997"/>
    <mergeCell ref="C995:C997"/>
    <mergeCell ref="D995:D997"/>
    <mergeCell ref="E995:E997"/>
    <mergeCell ref="A985:A987"/>
    <mergeCell ref="B985:B987"/>
    <mergeCell ref="C985:C987"/>
    <mergeCell ref="D985:D987"/>
    <mergeCell ref="E985:E987"/>
    <mergeCell ref="A989:A994"/>
    <mergeCell ref="B989:B994"/>
    <mergeCell ref="C989:C994"/>
    <mergeCell ref="D989:D994"/>
    <mergeCell ref="E989:E994"/>
    <mergeCell ref="A973:A980"/>
    <mergeCell ref="B973:B980"/>
    <mergeCell ref="C973:C980"/>
    <mergeCell ref="D973:D980"/>
    <mergeCell ref="E973:E980"/>
    <mergeCell ref="A981:A983"/>
    <mergeCell ref="B981:B983"/>
    <mergeCell ref="C981:C983"/>
    <mergeCell ref="D981:D983"/>
    <mergeCell ref="E981:E983"/>
    <mergeCell ref="A1018:A1027"/>
    <mergeCell ref="B1018:B1027"/>
    <mergeCell ref="C1018:C1027"/>
    <mergeCell ref="D1018:D1027"/>
    <mergeCell ref="E1018:E1027"/>
    <mergeCell ref="A999:A1014"/>
    <mergeCell ref="B999:B1014"/>
    <mergeCell ref="C999:C1014"/>
    <mergeCell ref="D999:D1014"/>
    <mergeCell ref="E999:E101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F01FE-0F28-4465-877C-1B1C7BD0089D}">
  <dimension ref="A1:AA45"/>
  <sheetViews>
    <sheetView zoomScale="110" zoomScaleNormal="110" workbookViewId="0">
      <selection activeCell="B12" sqref="B12"/>
    </sheetView>
  </sheetViews>
  <sheetFormatPr baseColWidth="10" defaultColWidth="8.83203125" defaultRowHeight="12" x14ac:dyDescent="0.15"/>
  <cols>
    <col min="1" max="1" width="12" style="8" customWidth="1"/>
    <col min="2" max="2" width="32.5" style="2" customWidth="1"/>
    <col min="3" max="3" width="13.33203125" style="2" customWidth="1"/>
    <col min="4" max="4" width="15" style="2" customWidth="1"/>
    <col min="5" max="10" width="15.5" style="2" customWidth="1"/>
    <col min="11" max="11" width="22.83203125" style="2" customWidth="1"/>
    <col min="12" max="16" width="20.6640625" style="2" customWidth="1"/>
    <col min="17" max="17" width="18.83203125" style="2" customWidth="1"/>
    <col min="18" max="22" width="15.83203125" style="2" customWidth="1"/>
    <col min="23" max="23" width="16.83203125" style="2" customWidth="1"/>
    <col min="24" max="24" width="13.1640625" style="2" customWidth="1"/>
    <col min="25" max="25" width="13.6640625" style="2" customWidth="1"/>
    <col min="26" max="26" width="12.5" style="2" customWidth="1"/>
    <col min="27" max="27" width="11.83203125" style="2" customWidth="1"/>
    <col min="28" max="16384" width="8.83203125" style="2"/>
  </cols>
  <sheetData>
    <row r="1" spans="1:27" ht="15" x14ac:dyDescent="0.2">
      <c r="A1" s="547" t="s">
        <v>415</v>
      </c>
      <c r="B1" s="547"/>
      <c r="C1" s="547"/>
      <c r="D1" s="547"/>
      <c r="E1" s="547"/>
      <c r="F1" s="547"/>
    </row>
    <row r="2" spans="1:27" ht="15" x14ac:dyDescent="0.2">
      <c r="A2" s="108" t="s">
        <v>416</v>
      </c>
      <c r="B2" s="108">
        <v>2710</v>
      </c>
      <c r="C2"/>
      <c r="D2"/>
      <c r="E2" s="11"/>
      <c r="F2"/>
    </row>
    <row r="3" spans="1:27" ht="15" x14ac:dyDescent="0.2">
      <c r="A3" s="108" t="s">
        <v>417</v>
      </c>
      <c r="B3" s="108">
        <v>6</v>
      </c>
      <c r="C3"/>
      <c r="D3"/>
      <c r="E3" s="11"/>
      <c r="F3"/>
    </row>
    <row r="7" spans="1:27" ht="92.5" customHeight="1" x14ac:dyDescent="0.15">
      <c r="A7" s="499" t="s">
        <v>8</v>
      </c>
      <c r="B7" s="499" t="s">
        <v>31</v>
      </c>
      <c r="C7" s="499" t="s">
        <v>32</v>
      </c>
      <c r="D7" s="499" t="s">
        <v>33</v>
      </c>
      <c r="E7" s="6" t="s">
        <v>234</v>
      </c>
      <c r="F7" s="6" t="s">
        <v>235</v>
      </c>
      <c r="G7" s="6" t="s">
        <v>236</v>
      </c>
      <c r="H7" s="6" t="s">
        <v>237</v>
      </c>
      <c r="I7" s="6" t="s">
        <v>238</v>
      </c>
      <c r="J7" s="6" t="s">
        <v>7</v>
      </c>
      <c r="K7" s="7" t="s">
        <v>47</v>
      </c>
      <c r="L7" s="7" t="s">
        <v>244</v>
      </c>
      <c r="M7" s="7" t="s">
        <v>245</v>
      </c>
      <c r="N7" s="7" t="s">
        <v>246</v>
      </c>
      <c r="O7" s="7" t="s">
        <v>247</v>
      </c>
      <c r="P7" s="7" t="s">
        <v>248</v>
      </c>
      <c r="Q7" s="7" t="s">
        <v>46</v>
      </c>
      <c r="R7" s="7" t="s">
        <v>249</v>
      </c>
      <c r="S7" s="7" t="s">
        <v>250</v>
      </c>
      <c r="T7" s="7" t="s">
        <v>251</v>
      </c>
      <c r="U7" s="7" t="s">
        <v>252</v>
      </c>
      <c r="V7" s="7" t="s">
        <v>253</v>
      </c>
      <c r="W7" s="7" t="s">
        <v>240</v>
      </c>
      <c r="X7" s="7" t="s">
        <v>241</v>
      </c>
      <c r="Y7" s="7" t="s">
        <v>242</v>
      </c>
      <c r="Z7" s="7" t="s">
        <v>243</v>
      </c>
      <c r="AA7" s="7" t="s">
        <v>239</v>
      </c>
    </row>
    <row r="8" spans="1:27" ht="15" x14ac:dyDescent="0.15">
      <c r="A8" s="500"/>
      <c r="B8" s="501"/>
      <c r="C8" s="501"/>
      <c r="D8" s="501"/>
      <c r="E8" s="548" t="s">
        <v>39</v>
      </c>
      <c r="F8" s="555"/>
      <c r="G8" s="555"/>
      <c r="H8" s="556"/>
      <c r="I8" s="557"/>
      <c r="J8" s="60" t="s">
        <v>40</v>
      </c>
      <c r="K8" s="9" t="s">
        <v>41</v>
      </c>
      <c r="L8" s="9" t="s">
        <v>42</v>
      </c>
      <c r="M8" s="9"/>
      <c r="N8" s="9"/>
      <c r="O8" s="9"/>
      <c r="P8" s="9"/>
      <c r="Q8" s="9" t="s">
        <v>43</v>
      </c>
      <c r="R8" s="548" t="s">
        <v>44</v>
      </c>
      <c r="S8" s="556"/>
      <c r="T8" s="556"/>
      <c r="U8" s="556"/>
      <c r="V8" s="557"/>
      <c r="W8" s="548" t="s">
        <v>45</v>
      </c>
      <c r="X8" s="549"/>
      <c r="Y8" s="549"/>
      <c r="Z8" s="549"/>
      <c r="AA8" s="550"/>
    </row>
    <row r="9" spans="1:27" ht="16.75" customHeight="1" x14ac:dyDescent="0.15">
      <c r="A9" s="500"/>
      <c r="B9" s="501"/>
      <c r="C9" s="501"/>
      <c r="D9" s="501"/>
      <c r="E9" s="548" t="s">
        <v>1</v>
      </c>
      <c r="F9" s="555"/>
      <c r="G9" s="555"/>
      <c r="H9" s="556"/>
      <c r="I9" s="557"/>
      <c r="J9" s="60" t="s">
        <v>2</v>
      </c>
      <c r="K9" s="7" t="s">
        <v>3</v>
      </c>
      <c r="L9" s="9" t="s">
        <v>0</v>
      </c>
      <c r="M9" s="9"/>
      <c r="N9" s="9"/>
      <c r="O9" s="9"/>
      <c r="P9" s="9"/>
      <c r="Q9" s="7" t="s">
        <v>4</v>
      </c>
      <c r="R9" s="548" t="s">
        <v>5</v>
      </c>
      <c r="S9" s="556"/>
      <c r="T9" s="556"/>
      <c r="U9" s="556"/>
      <c r="V9" s="557"/>
      <c r="W9" s="548" t="s">
        <v>6</v>
      </c>
      <c r="X9" s="549"/>
      <c r="Y9" s="549"/>
      <c r="Z9" s="549"/>
      <c r="AA9" s="550"/>
    </row>
    <row r="10" spans="1:27" x14ac:dyDescent="0.15">
      <c r="A10" s="3" t="s">
        <v>9</v>
      </c>
      <c r="B10" s="4" t="s">
        <v>709</v>
      </c>
      <c r="C10" s="4" t="s">
        <v>34</v>
      </c>
      <c r="D10" s="484">
        <f>Assumptions!D61</f>
        <v>183.761</v>
      </c>
      <c r="E10" s="4">
        <f>PDB_Fertilizer!E3/1000*$D$10</f>
        <v>0</v>
      </c>
      <c r="F10" s="4">
        <f>PDB_Fertilizer!F3/1000*$D$10</f>
        <v>0</v>
      </c>
      <c r="G10" s="4">
        <f>PDB_Fertilizer!G3/1000*$D$10</f>
        <v>0</v>
      </c>
      <c r="H10" s="4">
        <f>PDB_Fertilizer!H3/1000*$D$10</f>
        <v>0</v>
      </c>
      <c r="I10" s="4">
        <f>PDB_Fertilizer!I3/1000*$D$10</f>
        <v>0</v>
      </c>
      <c r="J10" s="4">
        <f>Assumptions!$E$8</f>
        <v>0.28000000000000003</v>
      </c>
      <c r="K10" s="9">
        <f>Assumptions!$E$9</f>
        <v>0.11</v>
      </c>
      <c r="L10" s="4">
        <f>E10*$J$10*(1-$K$10)</f>
        <v>0</v>
      </c>
      <c r="M10" s="4">
        <f>F10*$J$10*(1-$K$10)</f>
        <v>0</v>
      </c>
      <c r="N10" s="4">
        <f t="shared" ref="N10:P10" si="0">G10*$J$10*(1-$K$10)</f>
        <v>0</v>
      </c>
      <c r="O10" s="4">
        <f t="shared" si="0"/>
        <v>0</v>
      </c>
      <c r="P10" s="4">
        <f t="shared" si="0"/>
        <v>0</v>
      </c>
      <c r="Q10" s="9">
        <f>Assumptions!$E$7</f>
        <v>0.01</v>
      </c>
      <c r="R10" s="9">
        <f>L10*$Q$10*44/28</f>
        <v>0</v>
      </c>
      <c r="S10" s="9">
        <f>M10*$Q$10*44/28</f>
        <v>0</v>
      </c>
      <c r="T10" s="9">
        <f>N10*$Q$10*44/28</f>
        <v>0</v>
      </c>
      <c r="U10" s="9">
        <f>O10*$Q$10*44/28</f>
        <v>0</v>
      </c>
      <c r="V10" s="9">
        <f>P10*$Q$10*44/28</f>
        <v>0</v>
      </c>
      <c r="W10" s="9">
        <f>Assumptions!$E$6*R10</f>
        <v>0</v>
      </c>
      <c r="X10" s="9">
        <f>Assumptions!$E$6*S10</f>
        <v>0</v>
      </c>
      <c r="Y10" s="9">
        <f>Assumptions!$E$6*T10</f>
        <v>0</v>
      </c>
      <c r="Z10" s="9">
        <f>Assumptions!$E$6*U10</f>
        <v>0</v>
      </c>
      <c r="AA10" s="9">
        <f>Assumptions!$E$6*V10</f>
        <v>0</v>
      </c>
    </row>
    <row r="11" spans="1:27" x14ac:dyDescent="0.15">
      <c r="A11" s="5" t="s">
        <v>10</v>
      </c>
      <c r="B11" s="4"/>
      <c r="C11" s="4" t="s">
        <v>35</v>
      </c>
      <c r="D11" s="484">
        <f>Assumptions!D62</f>
        <v>6772.8780000000015</v>
      </c>
      <c r="E11" s="4">
        <f>PDB_Fertilizer!E6/1000*$D$10</f>
        <v>0</v>
      </c>
      <c r="F11" s="4">
        <f>PDB_Fertilizer!F6/1000*$D$10</f>
        <v>0</v>
      </c>
      <c r="G11" s="4">
        <f>PDB_Fertilizer!G6/1000*$D$10</f>
        <v>0</v>
      </c>
      <c r="H11" s="4">
        <f>PDB_Fertilizer!H6/1000*$D$10</f>
        <v>0</v>
      </c>
      <c r="I11" s="4">
        <f>PDB_Fertilizer!I6/1000*$D$10</f>
        <v>0</v>
      </c>
      <c r="J11" s="4">
        <f>Assumptions!$E$8</f>
        <v>0.28000000000000003</v>
      </c>
      <c r="K11" s="9">
        <f>Assumptions!$E$9</f>
        <v>0.11</v>
      </c>
      <c r="L11" s="4">
        <f>E11*$J$10*(1-$K$10)</f>
        <v>0</v>
      </c>
      <c r="M11" s="4">
        <f t="shared" ref="M11:M31" si="1">F11*$J$10*(1-$K$10)</f>
        <v>0</v>
      </c>
      <c r="N11" s="4">
        <f t="shared" ref="N11:N31" si="2">G11*$J$10*(1-$K$10)</f>
        <v>0</v>
      </c>
      <c r="O11" s="4">
        <f t="shared" ref="O11:O31" si="3">H11*$J$10*(1-$K$10)</f>
        <v>0</v>
      </c>
      <c r="P11" s="4">
        <f t="shared" ref="P11:P31" si="4">I11*$J$10*(1-$K$10)</f>
        <v>0</v>
      </c>
      <c r="Q11" s="9">
        <f>Assumptions!$E$7</f>
        <v>0.01</v>
      </c>
      <c r="R11" s="9">
        <f t="shared" ref="R11:R31" si="5">L11*$Q$10*44/28</f>
        <v>0</v>
      </c>
      <c r="S11" s="9">
        <f>M11*$Q$10*44/28</f>
        <v>0</v>
      </c>
      <c r="T11" s="9">
        <f t="shared" ref="T11:T31" si="6">N11*$Q$10*44/28</f>
        <v>0</v>
      </c>
      <c r="U11" s="9">
        <f t="shared" ref="U11:U31" si="7">O11*$Q$10*44/28</f>
        <v>0</v>
      </c>
      <c r="V11" s="9">
        <f t="shared" ref="V11:V31" si="8">P11*$Q$10*44/28</f>
        <v>0</v>
      </c>
      <c r="W11" s="9">
        <f>Assumptions!$E$6*R11</f>
        <v>0</v>
      </c>
      <c r="X11" s="9">
        <f>Assumptions!$E$6*S11</f>
        <v>0</v>
      </c>
      <c r="Y11" s="9">
        <f>Assumptions!$E$6*T11</f>
        <v>0</v>
      </c>
      <c r="Z11" s="9">
        <f>Assumptions!$E$6*U11</f>
        <v>0</v>
      </c>
      <c r="AA11" s="9">
        <f>Assumptions!$E$6*V11</f>
        <v>0</v>
      </c>
    </row>
    <row r="12" spans="1:27" x14ac:dyDescent="0.15">
      <c r="A12" s="5" t="s">
        <v>11</v>
      </c>
      <c r="B12" s="4"/>
      <c r="C12" s="4" t="s">
        <v>35</v>
      </c>
      <c r="D12" s="484">
        <f>Assumptions!D63</f>
        <v>4319.8270000000002</v>
      </c>
      <c r="E12" s="4">
        <f>PDB_Fertilizer!E9/1000*$D$10</f>
        <v>0</v>
      </c>
      <c r="F12" s="4">
        <f>PDB_Fertilizer!F9/1000*$D$12</f>
        <v>0</v>
      </c>
      <c r="G12" s="4">
        <f>PDB_Fertilizer!G9/1000*$D$12</f>
        <v>0</v>
      </c>
      <c r="H12" s="4">
        <f>PDB_Fertilizer!H9/1000*$D$12</f>
        <v>0</v>
      </c>
      <c r="I12" s="4">
        <f>PDB_Fertilizer!I9/1000*$D$12</f>
        <v>0</v>
      </c>
      <c r="J12" s="4">
        <f>Assumptions!$E$8</f>
        <v>0.28000000000000003</v>
      </c>
      <c r="K12" s="9">
        <f>Assumptions!$E$9</f>
        <v>0.11</v>
      </c>
      <c r="L12" s="4">
        <f>E12*$J$10*(1-$K$10)</f>
        <v>0</v>
      </c>
      <c r="M12" s="4">
        <f t="shared" si="1"/>
        <v>0</v>
      </c>
      <c r="N12" s="4">
        <f t="shared" si="2"/>
        <v>0</v>
      </c>
      <c r="O12" s="4">
        <f t="shared" si="3"/>
        <v>0</v>
      </c>
      <c r="P12" s="4">
        <f t="shared" si="4"/>
        <v>0</v>
      </c>
      <c r="Q12" s="9">
        <f>Assumptions!$E$7</f>
        <v>0.01</v>
      </c>
      <c r="R12" s="9">
        <f t="shared" si="5"/>
        <v>0</v>
      </c>
      <c r="S12" s="9">
        <f t="shared" ref="S12:S31" si="9">M12*$Q$10*44/28</f>
        <v>0</v>
      </c>
      <c r="T12" s="9">
        <f t="shared" si="6"/>
        <v>0</v>
      </c>
      <c r="U12" s="9">
        <f t="shared" si="7"/>
        <v>0</v>
      </c>
      <c r="V12" s="9">
        <f t="shared" si="8"/>
        <v>0</v>
      </c>
      <c r="W12" s="9">
        <f>Assumptions!$E$6*R12</f>
        <v>0</v>
      </c>
      <c r="X12" s="9">
        <f>Assumptions!$E$6*S12</f>
        <v>0</v>
      </c>
      <c r="Y12" s="9">
        <f>Assumptions!$E$6*T12</f>
        <v>0</v>
      </c>
      <c r="Z12" s="9">
        <f>Assumptions!$E$6*U12</f>
        <v>0</v>
      </c>
      <c r="AA12" s="9">
        <f>Assumptions!$E$6*V12</f>
        <v>0</v>
      </c>
    </row>
    <row r="13" spans="1:27" x14ac:dyDescent="0.15">
      <c r="A13" s="5" t="s">
        <v>12</v>
      </c>
      <c r="B13" s="4"/>
      <c r="C13" s="4" t="s">
        <v>34</v>
      </c>
      <c r="D13" s="484">
        <f>Assumptions!D64</f>
        <v>1612.0500000000002</v>
      </c>
      <c r="E13" s="4">
        <f>PDB_Fertilizer!E12/1000*$D$10</f>
        <v>0</v>
      </c>
      <c r="F13" s="4">
        <f>PDB_Fertilizer!F12/1000*$D$13</f>
        <v>0</v>
      </c>
      <c r="G13" s="4">
        <f>PDB_Fertilizer!G12/1000*$D$13</f>
        <v>0</v>
      </c>
      <c r="H13" s="4">
        <f>PDB_Fertilizer!H12/1000*$D$13</f>
        <v>0</v>
      </c>
      <c r="I13" s="4">
        <f>PDB_Fertilizer!I12/1000*$D$13</f>
        <v>0</v>
      </c>
      <c r="J13" s="4">
        <f>Assumptions!$E$8</f>
        <v>0.28000000000000003</v>
      </c>
      <c r="K13" s="9">
        <f>Assumptions!$E$9</f>
        <v>0.11</v>
      </c>
      <c r="L13" s="4">
        <f t="shared" ref="L13:L31" si="10">E13*$J$10*(1-$K$10)</f>
        <v>0</v>
      </c>
      <c r="M13" s="4">
        <f t="shared" si="1"/>
        <v>0</v>
      </c>
      <c r="N13" s="4">
        <f t="shared" si="2"/>
        <v>0</v>
      </c>
      <c r="O13" s="4">
        <f t="shared" si="3"/>
        <v>0</v>
      </c>
      <c r="P13" s="4">
        <f t="shared" si="4"/>
        <v>0</v>
      </c>
      <c r="Q13" s="9">
        <f>Assumptions!$E$7</f>
        <v>0.01</v>
      </c>
      <c r="R13" s="9">
        <f t="shared" si="5"/>
        <v>0</v>
      </c>
      <c r="S13" s="9">
        <f t="shared" si="9"/>
        <v>0</v>
      </c>
      <c r="T13" s="9">
        <f t="shared" si="6"/>
        <v>0</v>
      </c>
      <c r="U13" s="9">
        <f t="shared" si="7"/>
        <v>0</v>
      </c>
      <c r="V13" s="9">
        <f t="shared" si="8"/>
        <v>0</v>
      </c>
      <c r="W13" s="9">
        <f>Assumptions!$E$6*R13</f>
        <v>0</v>
      </c>
      <c r="X13" s="9">
        <f>Assumptions!$E$6*S13</f>
        <v>0</v>
      </c>
      <c r="Y13" s="9">
        <f>Assumptions!$E$6*T13</f>
        <v>0</v>
      </c>
      <c r="Z13" s="9">
        <f>Assumptions!$E$6*U13</f>
        <v>0</v>
      </c>
      <c r="AA13" s="9">
        <f>Assumptions!$E$6*V13</f>
        <v>0</v>
      </c>
    </row>
    <row r="14" spans="1:27" x14ac:dyDescent="0.15">
      <c r="A14" s="5" t="s">
        <v>13</v>
      </c>
      <c r="B14" s="4"/>
      <c r="C14" s="4" t="s">
        <v>34</v>
      </c>
      <c r="D14" s="484">
        <f>Assumptions!D65</f>
        <v>353.58800000000002</v>
      </c>
      <c r="E14" s="4">
        <f>PDB_Fertilizer!E15/1000*$D$10</f>
        <v>0</v>
      </c>
      <c r="F14" s="4">
        <f>PDB_Fertilizer!F15/1000*$D$10</f>
        <v>0</v>
      </c>
      <c r="G14" s="4">
        <f>PDB_Fertilizer!G15/1000*$D$10</f>
        <v>0</v>
      </c>
      <c r="H14" s="4">
        <f>PDB_Fertilizer!H15/1000*$D$10</f>
        <v>0</v>
      </c>
      <c r="I14" s="4">
        <f>PDB_Fertilizer!I15/1000*$D$10</f>
        <v>0</v>
      </c>
      <c r="J14" s="4">
        <f>Assumptions!$E$8</f>
        <v>0.28000000000000003</v>
      </c>
      <c r="K14" s="9">
        <f>Assumptions!$E$9</f>
        <v>0.11</v>
      </c>
      <c r="L14" s="4">
        <f t="shared" si="10"/>
        <v>0</v>
      </c>
      <c r="M14" s="4">
        <f t="shared" si="1"/>
        <v>0</v>
      </c>
      <c r="N14" s="4">
        <f t="shared" si="2"/>
        <v>0</v>
      </c>
      <c r="O14" s="4">
        <f t="shared" si="3"/>
        <v>0</v>
      </c>
      <c r="P14" s="4">
        <f t="shared" si="4"/>
        <v>0</v>
      </c>
      <c r="Q14" s="9">
        <f>Assumptions!$E$7</f>
        <v>0.01</v>
      </c>
      <c r="R14" s="9">
        <f t="shared" si="5"/>
        <v>0</v>
      </c>
      <c r="S14" s="9">
        <f t="shared" si="9"/>
        <v>0</v>
      </c>
      <c r="T14" s="9">
        <f t="shared" si="6"/>
        <v>0</v>
      </c>
      <c r="U14" s="9">
        <f t="shared" si="7"/>
        <v>0</v>
      </c>
      <c r="V14" s="9">
        <f t="shared" si="8"/>
        <v>0</v>
      </c>
      <c r="W14" s="9">
        <f>Assumptions!$E$6*R14</f>
        <v>0</v>
      </c>
      <c r="X14" s="9">
        <f>Assumptions!$E$6*S14</f>
        <v>0</v>
      </c>
      <c r="Y14" s="9">
        <f>Assumptions!$E$6*T14</f>
        <v>0</v>
      </c>
      <c r="Z14" s="9">
        <f>Assumptions!$E$6*U14</f>
        <v>0</v>
      </c>
      <c r="AA14" s="9">
        <f>Assumptions!$E$6*V14</f>
        <v>0</v>
      </c>
    </row>
    <row r="15" spans="1:27" x14ac:dyDescent="0.15">
      <c r="A15" s="5" t="s">
        <v>14</v>
      </c>
      <c r="B15" s="4"/>
      <c r="C15" s="4" t="s">
        <v>35</v>
      </c>
      <c r="D15" s="484">
        <f>Assumptions!D66</f>
        <v>4915.7929999999997</v>
      </c>
      <c r="E15" s="4">
        <f>PDB_Fertilizer!E18/1000*$D$15</f>
        <v>0</v>
      </c>
      <c r="F15" s="4">
        <f>PDB_Fertilizer!F18/1000*$D$15</f>
        <v>0</v>
      </c>
      <c r="G15" s="4">
        <f>PDB_Fertilizer!G18/1000*$D$15</f>
        <v>0</v>
      </c>
      <c r="H15" s="4">
        <f>PDB_Fertilizer!H18/1000*$D$15</f>
        <v>0</v>
      </c>
      <c r="I15" s="4">
        <f>PDB_Fertilizer!I18/1000*$D$15</f>
        <v>0</v>
      </c>
      <c r="J15" s="4">
        <f>Assumptions!$E$8</f>
        <v>0.28000000000000003</v>
      </c>
      <c r="K15" s="9">
        <f>Assumptions!$E$9</f>
        <v>0.11</v>
      </c>
      <c r="L15" s="4">
        <f t="shared" si="10"/>
        <v>0</v>
      </c>
      <c r="M15" s="4">
        <f t="shared" si="1"/>
        <v>0</v>
      </c>
      <c r="N15" s="4">
        <f t="shared" si="2"/>
        <v>0</v>
      </c>
      <c r="O15" s="4">
        <f t="shared" si="3"/>
        <v>0</v>
      </c>
      <c r="P15" s="4">
        <f t="shared" si="4"/>
        <v>0</v>
      </c>
      <c r="Q15" s="9">
        <f>Assumptions!$E$7</f>
        <v>0.01</v>
      </c>
      <c r="R15" s="9">
        <f t="shared" si="5"/>
        <v>0</v>
      </c>
      <c r="S15" s="9">
        <f t="shared" si="9"/>
        <v>0</v>
      </c>
      <c r="T15" s="9">
        <f t="shared" si="6"/>
        <v>0</v>
      </c>
      <c r="U15" s="9">
        <f t="shared" si="7"/>
        <v>0</v>
      </c>
      <c r="V15" s="9">
        <f t="shared" si="8"/>
        <v>0</v>
      </c>
      <c r="W15" s="9">
        <f>Assumptions!$E$6*R15</f>
        <v>0</v>
      </c>
      <c r="X15" s="9">
        <f>Assumptions!$E$6*S15</f>
        <v>0</v>
      </c>
      <c r="Y15" s="9">
        <f>Assumptions!$E$6*T15</f>
        <v>0</v>
      </c>
      <c r="Z15" s="9">
        <f>Assumptions!$E$6*U15</f>
        <v>0</v>
      </c>
      <c r="AA15" s="9">
        <f>Assumptions!$E$6*V15</f>
        <v>0</v>
      </c>
    </row>
    <row r="16" spans="1:27" x14ac:dyDescent="0.15">
      <c r="A16" s="5" t="s">
        <v>15</v>
      </c>
      <c r="B16" s="4"/>
      <c r="C16" s="4" t="s">
        <v>34</v>
      </c>
      <c r="D16" s="484">
        <f>Assumptions!D67</f>
        <v>2549.9479999999994</v>
      </c>
      <c r="E16" s="4">
        <f>PDB_Fertilizer!E21/1000*$D$16</f>
        <v>29.579396799999991</v>
      </c>
      <c r="F16" s="4">
        <f>PDB_Fertilizer!F21/1000*$D$16</f>
        <v>29.579396799999991</v>
      </c>
      <c r="G16" s="4">
        <f>PDB_Fertilizer!G21/1000*$D$16</f>
        <v>29.579396799999991</v>
      </c>
      <c r="H16" s="4">
        <f>PDB_Fertilizer!H21/1000*$D$16</f>
        <v>29.579396799999991</v>
      </c>
      <c r="I16" s="4">
        <f>PDB_Fertilizer!I21/1000*$D$16</f>
        <v>29.579396799999991</v>
      </c>
      <c r="J16" s="4">
        <f>Assumptions!$E$8</f>
        <v>0.28000000000000003</v>
      </c>
      <c r="K16" s="9">
        <f>Assumptions!$E$9</f>
        <v>0.11</v>
      </c>
      <c r="L16" s="4">
        <f>(PDB_Fertilizer!E21/1000*$D$16)*$J$10*(1-$K$10)+(PDB_Fertilizer!E22/1000*$D$16)*Assumptions!E29*(1-$K$10)</f>
        <v>14.763431895641595</v>
      </c>
      <c r="M16" s="4">
        <f>(PDB_Fertilizer!E21/1000*$D$16)*$J$10*(1-$K$10)+(PDB_Fertilizer!E22/1000*$D$16)*Assumptions!E29*(1-Fertilizer_baseline!$K$10)</f>
        <v>14.763431895641595</v>
      </c>
      <c r="N16" s="4">
        <f>(PDB_Fertilizer!E21/1000*$D$16)*$J$10*(1-$K$10)+(PDB_Fertilizer!E22/1000*$D$16)*Assumptions!E29*(1-Fertilizer_baseline!$K$10)</f>
        <v>14.763431895641595</v>
      </c>
      <c r="O16" s="4">
        <f>(PDB_Fertilizer!E21/1000*$D$16)*$J$10*(1-$K$10)+(PDB_Fertilizer!E22/1000*$D$16)*Assumptions!E29*(1-Fertilizer_baseline!$K$10)</f>
        <v>14.763431895641595</v>
      </c>
      <c r="P16" s="4">
        <f>(PDB_Fertilizer!E21/1000*$D$16)*$J$10*(1-$K$10)+(PDB_Fertilizer!E22/1000*$D$16)*Assumptions!E29*(1-Fertilizer_baseline!$K$10)</f>
        <v>14.763431895641595</v>
      </c>
      <c r="Q16" s="9">
        <f>Assumptions!$E$7</f>
        <v>0.01</v>
      </c>
      <c r="R16" s="9">
        <f t="shared" si="5"/>
        <v>0.2319967869315108</v>
      </c>
      <c r="S16" s="9">
        <f t="shared" si="9"/>
        <v>0.2319967869315108</v>
      </c>
      <c r="T16" s="9">
        <f t="shared" si="6"/>
        <v>0.2319967869315108</v>
      </c>
      <c r="U16" s="9">
        <f t="shared" si="7"/>
        <v>0.2319967869315108</v>
      </c>
      <c r="V16" s="9">
        <f t="shared" si="8"/>
        <v>0.2319967869315108</v>
      </c>
      <c r="W16" s="9">
        <f>Assumptions!$E$6*R16</f>
        <v>61.47914853685036</v>
      </c>
      <c r="X16" s="9">
        <f>Assumptions!$E$6*S16</f>
        <v>61.47914853685036</v>
      </c>
      <c r="Y16" s="9">
        <f>Assumptions!$E$6*T16</f>
        <v>61.47914853685036</v>
      </c>
      <c r="Z16" s="9">
        <f>Assumptions!$E$6*U16</f>
        <v>61.47914853685036</v>
      </c>
      <c r="AA16" s="9">
        <f>Assumptions!$E$6*V16</f>
        <v>61.47914853685036</v>
      </c>
    </row>
    <row r="17" spans="1:27" x14ac:dyDescent="0.15">
      <c r="A17" s="5" t="s">
        <v>16</v>
      </c>
      <c r="B17" s="4"/>
      <c r="C17" s="4" t="s">
        <v>36</v>
      </c>
      <c r="D17" s="484">
        <f>Assumptions!D68</f>
        <v>741.26900000000001</v>
      </c>
      <c r="E17" s="4">
        <f>PDB_Fertilizer!E24/1000*$D$16</f>
        <v>119.84755599999997</v>
      </c>
      <c r="F17" s="4">
        <f>PDB_Fertilizer!F24/1000*$D$16</f>
        <v>119.84755599999997</v>
      </c>
      <c r="G17" s="4">
        <f>PDB_Fertilizer!G24/1000*$D$16</f>
        <v>119.84755599999997</v>
      </c>
      <c r="H17" s="4">
        <f>PDB_Fertilizer!H24/1000*$D$16</f>
        <v>119.84755599999997</v>
      </c>
      <c r="I17" s="4">
        <f>PDB_Fertilizer!I24/1000*$D$16</f>
        <v>119.84755599999997</v>
      </c>
      <c r="J17" s="4">
        <f>Assumptions!$E$8</f>
        <v>0.28000000000000003</v>
      </c>
      <c r="K17" s="9">
        <f>Assumptions!$E$9</f>
        <v>0.11</v>
      </c>
      <c r="L17" s="4">
        <f t="shared" si="10"/>
        <v>29.866010955199997</v>
      </c>
      <c r="M17" s="4">
        <f t="shared" si="1"/>
        <v>29.866010955199997</v>
      </c>
      <c r="N17" s="4">
        <f t="shared" si="2"/>
        <v>29.866010955199997</v>
      </c>
      <c r="O17" s="4">
        <f t="shared" si="3"/>
        <v>29.866010955199997</v>
      </c>
      <c r="P17" s="4">
        <f t="shared" si="4"/>
        <v>29.866010955199997</v>
      </c>
      <c r="Q17" s="9">
        <f>Assumptions!$E$7</f>
        <v>0.01</v>
      </c>
      <c r="R17" s="9">
        <f t="shared" si="5"/>
        <v>0.46932302929599995</v>
      </c>
      <c r="S17" s="9">
        <f t="shared" si="9"/>
        <v>0.46932302929599995</v>
      </c>
      <c r="T17" s="9">
        <f t="shared" si="6"/>
        <v>0.46932302929599995</v>
      </c>
      <c r="U17" s="9">
        <f t="shared" si="7"/>
        <v>0.46932302929599995</v>
      </c>
      <c r="V17" s="9">
        <f t="shared" si="8"/>
        <v>0.46932302929599995</v>
      </c>
      <c r="W17" s="9">
        <f>Assumptions!$E$6*R17</f>
        <v>124.37060276343999</v>
      </c>
      <c r="X17" s="9">
        <f>Assumptions!$E$6*S17</f>
        <v>124.37060276343999</v>
      </c>
      <c r="Y17" s="9">
        <f>Assumptions!$E$6*T17</f>
        <v>124.37060276343999</v>
      </c>
      <c r="Z17" s="9">
        <f>Assumptions!$E$6*U17</f>
        <v>124.37060276343999</v>
      </c>
      <c r="AA17" s="9">
        <f>Assumptions!$E$6*V17</f>
        <v>124.37060276343999</v>
      </c>
    </row>
    <row r="18" spans="1:27" x14ac:dyDescent="0.15">
      <c r="A18" s="5" t="s">
        <v>17</v>
      </c>
      <c r="B18" s="4"/>
      <c r="C18" s="4" t="s">
        <v>35</v>
      </c>
      <c r="D18" s="484">
        <f>Assumptions!D69</f>
        <v>8643.7000000000025</v>
      </c>
      <c r="E18" s="4">
        <f>PDB_Fertilizer!E27/1000*$D$18</f>
        <v>0</v>
      </c>
      <c r="F18" s="4">
        <f>PDB_Fertilizer!F27/1000*$D$18</f>
        <v>0</v>
      </c>
      <c r="G18" s="4">
        <f>PDB_Fertilizer!G27/1000*$D$18</f>
        <v>0</v>
      </c>
      <c r="H18" s="4">
        <f>PDB_Fertilizer!H27/1000*$D$18</f>
        <v>0</v>
      </c>
      <c r="I18" s="4">
        <f>PDB_Fertilizer!I27/1000*$D$18</f>
        <v>0</v>
      </c>
      <c r="J18" s="4">
        <f>Assumptions!$E$8</f>
        <v>0.28000000000000003</v>
      </c>
      <c r="K18" s="9">
        <f>Assumptions!$E$9</f>
        <v>0.11</v>
      </c>
      <c r="L18" s="4">
        <f t="shared" si="10"/>
        <v>0</v>
      </c>
      <c r="M18" s="4">
        <f t="shared" si="1"/>
        <v>0</v>
      </c>
      <c r="N18" s="4">
        <f t="shared" si="2"/>
        <v>0</v>
      </c>
      <c r="O18" s="4">
        <f t="shared" si="3"/>
        <v>0</v>
      </c>
      <c r="P18" s="4">
        <f t="shared" si="4"/>
        <v>0</v>
      </c>
      <c r="Q18" s="9">
        <f>Assumptions!$E$7</f>
        <v>0.01</v>
      </c>
      <c r="R18" s="9">
        <f t="shared" si="5"/>
        <v>0</v>
      </c>
      <c r="S18" s="9">
        <f t="shared" si="9"/>
        <v>0</v>
      </c>
      <c r="T18" s="9">
        <f t="shared" si="6"/>
        <v>0</v>
      </c>
      <c r="U18" s="9">
        <f t="shared" si="7"/>
        <v>0</v>
      </c>
      <c r="V18" s="9">
        <f t="shared" si="8"/>
        <v>0</v>
      </c>
      <c r="W18" s="9">
        <f>Assumptions!$E$6*R18</f>
        <v>0</v>
      </c>
      <c r="X18" s="9">
        <f>Assumptions!$E$6*S18</f>
        <v>0</v>
      </c>
      <c r="Y18" s="9">
        <f>Assumptions!$E$6*T18</f>
        <v>0</v>
      </c>
      <c r="Z18" s="9">
        <f>Assumptions!$E$6*U18</f>
        <v>0</v>
      </c>
      <c r="AA18" s="9">
        <f>Assumptions!$E$6*V18</f>
        <v>0</v>
      </c>
    </row>
    <row r="19" spans="1:27" x14ac:dyDescent="0.15">
      <c r="A19" s="5" t="s">
        <v>18</v>
      </c>
      <c r="B19" s="4"/>
      <c r="C19" s="4" t="s">
        <v>35</v>
      </c>
      <c r="D19" s="484">
        <f>Assumptions!D70</f>
        <v>2860.4270000000001</v>
      </c>
      <c r="E19" s="4">
        <f>PDB_Fertilizer!E30/1000*$D$19</f>
        <v>0</v>
      </c>
      <c r="F19" s="4">
        <f>PDB_Fertilizer!F30/1000*$D$19</f>
        <v>0</v>
      </c>
      <c r="G19" s="4">
        <f>PDB_Fertilizer!G30/1000*$D$19</f>
        <v>0</v>
      </c>
      <c r="H19" s="4">
        <f>PDB_Fertilizer!H30/1000*$D$19</f>
        <v>0</v>
      </c>
      <c r="I19" s="4">
        <f>PDB_Fertilizer!I30/1000*$D$19</f>
        <v>0</v>
      </c>
      <c r="J19" s="4">
        <f>Assumptions!$E$8</f>
        <v>0.28000000000000003</v>
      </c>
      <c r="K19" s="9">
        <f>Assumptions!$E$9</f>
        <v>0.11</v>
      </c>
      <c r="L19" s="4">
        <f t="shared" si="10"/>
        <v>0</v>
      </c>
      <c r="M19" s="4">
        <f t="shared" si="1"/>
        <v>0</v>
      </c>
      <c r="N19" s="4">
        <f t="shared" si="2"/>
        <v>0</v>
      </c>
      <c r="O19" s="4">
        <f t="shared" si="3"/>
        <v>0</v>
      </c>
      <c r="P19" s="4">
        <f t="shared" si="4"/>
        <v>0</v>
      </c>
      <c r="Q19" s="9">
        <f>Assumptions!$E$7</f>
        <v>0.01</v>
      </c>
      <c r="R19" s="9">
        <f t="shared" si="5"/>
        <v>0</v>
      </c>
      <c r="S19" s="9">
        <f t="shared" si="9"/>
        <v>0</v>
      </c>
      <c r="T19" s="9">
        <f t="shared" si="6"/>
        <v>0</v>
      </c>
      <c r="U19" s="9">
        <f t="shared" si="7"/>
        <v>0</v>
      </c>
      <c r="V19" s="9">
        <f t="shared" si="8"/>
        <v>0</v>
      </c>
      <c r="W19" s="9">
        <f>Assumptions!$E$6*R19</f>
        <v>0</v>
      </c>
      <c r="X19" s="9">
        <f>Assumptions!$E$6*S19</f>
        <v>0</v>
      </c>
      <c r="Y19" s="9">
        <f>Assumptions!$E$6*T19</f>
        <v>0</v>
      </c>
      <c r="Z19" s="9">
        <f>Assumptions!$E$6*U19</f>
        <v>0</v>
      </c>
      <c r="AA19" s="9">
        <f>Assumptions!$E$6*V19</f>
        <v>0</v>
      </c>
    </row>
    <row r="20" spans="1:27" x14ac:dyDescent="0.15">
      <c r="A20" s="5" t="s">
        <v>19</v>
      </c>
      <c r="B20" s="4"/>
      <c r="C20" s="4" t="s">
        <v>35</v>
      </c>
      <c r="D20" s="484">
        <f>Assumptions!D71</f>
        <v>9034.3230000000021</v>
      </c>
      <c r="E20" s="4">
        <f>PDB_Fertilizer!E33/1000*$D$19</f>
        <v>0</v>
      </c>
      <c r="F20" s="4">
        <f>PDB_Fertilizer!F33/1000*$D$19</f>
        <v>0</v>
      </c>
      <c r="G20" s="4">
        <f>PDB_Fertilizer!G33/1000*$D$19</f>
        <v>0</v>
      </c>
      <c r="H20" s="4">
        <f>PDB_Fertilizer!H33/1000*$D$19</f>
        <v>0</v>
      </c>
      <c r="I20" s="4">
        <f>PDB_Fertilizer!I33/1000*$D$19</f>
        <v>0</v>
      </c>
      <c r="J20" s="4">
        <f>Assumptions!$E$8</f>
        <v>0.28000000000000003</v>
      </c>
      <c r="K20" s="9">
        <f>Assumptions!$E$9</f>
        <v>0.11</v>
      </c>
      <c r="L20" s="4">
        <f t="shared" si="10"/>
        <v>0</v>
      </c>
      <c r="M20" s="4">
        <f t="shared" si="1"/>
        <v>0</v>
      </c>
      <c r="N20" s="4">
        <f t="shared" si="2"/>
        <v>0</v>
      </c>
      <c r="O20" s="4">
        <f t="shared" si="3"/>
        <v>0</v>
      </c>
      <c r="P20" s="4">
        <f t="shared" si="4"/>
        <v>0</v>
      </c>
      <c r="Q20" s="9">
        <f>Assumptions!$E$7</f>
        <v>0.01</v>
      </c>
      <c r="R20" s="9">
        <f t="shared" si="5"/>
        <v>0</v>
      </c>
      <c r="S20" s="9">
        <f t="shared" si="9"/>
        <v>0</v>
      </c>
      <c r="T20" s="9">
        <f t="shared" si="6"/>
        <v>0</v>
      </c>
      <c r="U20" s="9">
        <f t="shared" si="7"/>
        <v>0</v>
      </c>
      <c r="V20" s="9">
        <f t="shared" si="8"/>
        <v>0</v>
      </c>
      <c r="W20" s="9">
        <f>Assumptions!$E$6*R20</f>
        <v>0</v>
      </c>
      <c r="X20" s="9">
        <f>Assumptions!$E$6*S20</f>
        <v>0</v>
      </c>
      <c r="Y20" s="9">
        <f>Assumptions!$E$6*T20</f>
        <v>0</v>
      </c>
      <c r="Z20" s="9">
        <f>Assumptions!$E$6*U20</f>
        <v>0</v>
      </c>
      <c r="AA20" s="9">
        <f>Assumptions!$E$6*V20</f>
        <v>0</v>
      </c>
    </row>
    <row r="21" spans="1:27" x14ac:dyDescent="0.15">
      <c r="A21" s="5" t="s">
        <v>20</v>
      </c>
      <c r="B21" s="4"/>
      <c r="C21" s="4" t="s">
        <v>37</v>
      </c>
      <c r="D21" s="484">
        <f>Assumptions!D72</f>
        <v>2315.3180000000002</v>
      </c>
      <c r="E21" s="4">
        <f>PDB_Fertilizer!E36/1000*$D$19</f>
        <v>57.208540000000006</v>
      </c>
      <c r="F21" s="4">
        <f>PDB_Fertilizer!F36/1000*$D$21</f>
        <v>46.306360000000005</v>
      </c>
      <c r="G21" s="4">
        <f>PDB_Fertilizer!G36/1000*$D$21</f>
        <v>46.306360000000005</v>
      </c>
      <c r="H21" s="4">
        <f>PDB_Fertilizer!H36/1000*$D$21</f>
        <v>46.306360000000005</v>
      </c>
      <c r="I21" s="4">
        <f>PDB_Fertilizer!I36/1000*$D$21</f>
        <v>46.306360000000005</v>
      </c>
      <c r="J21" s="4">
        <f>Assumptions!$E$8</f>
        <v>0.28000000000000003</v>
      </c>
      <c r="K21" s="9">
        <f>Assumptions!$E$9</f>
        <v>0.11</v>
      </c>
      <c r="L21" s="4">
        <f t="shared" si="10"/>
        <v>14.256368168000003</v>
      </c>
      <c r="M21" s="4">
        <f t="shared" si="1"/>
        <v>11.539544912000002</v>
      </c>
      <c r="N21" s="4">
        <f t="shared" si="2"/>
        <v>11.539544912000002</v>
      </c>
      <c r="O21" s="4">
        <f t="shared" si="3"/>
        <v>11.539544912000002</v>
      </c>
      <c r="P21" s="4">
        <f t="shared" si="4"/>
        <v>11.539544912000002</v>
      </c>
      <c r="Q21" s="9">
        <f>Assumptions!$E$7</f>
        <v>0.01</v>
      </c>
      <c r="R21" s="9">
        <f t="shared" si="5"/>
        <v>0.22402864264000003</v>
      </c>
      <c r="S21" s="9">
        <f t="shared" si="9"/>
        <v>0.18133570576000002</v>
      </c>
      <c r="T21" s="9">
        <f t="shared" si="6"/>
        <v>0.18133570576000002</v>
      </c>
      <c r="U21" s="9">
        <f t="shared" si="7"/>
        <v>0.18133570576000002</v>
      </c>
      <c r="V21" s="9">
        <f t="shared" si="8"/>
        <v>0.18133570576000002</v>
      </c>
      <c r="W21" s="9">
        <f>Assumptions!$E$6*R21</f>
        <v>59.367590299600003</v>
      </c>
      <c r="X21" s="9">
        <f>Assumptions!$E$6*S21</f>
        <v>48.053962026400008</v>
      </c>
      <c r="Y21" s="9">
        <f>Assumptions!$E$6*T21</f>
        <v>48.053962026400008</v>
      </c>
      <c r="Z21" s="9">
        <f>Assumptions!$E$6*U21</f>
        <v>48.053962026400008</v>
      </c>
      <c r="AA21" s="9">
        <f>Assumptions!$E$6*V21</f>
        <v>48.053962026400008</v>
      </c>
    </row>
    <row r="22" spans="1:27" x14ac:dyDescent="0.15">
      <c r="A22" s="5" t="s">
        <v>21</v>
      </c>
      <c r="B22" s="4"/>
      <c r="C22" s="4" t="s">
        <v>35</v>
      </c>
      <c r="D22" s="484">
        <f>Assumptions!D73</f>
        <v>5717.201</v>
      </c>
      <c r="E22" s="4">
        <f>PDB_Fertilizer!E39/1000*$D$19</f>
        <v>0</v>
      </c>
      <c r="F22" s="4">
        <f>PDB_Fertilizer!F39/1000*$D$22</f>
        <v>0</v>
      </c>
      <c r="G22" s="4">
        <f>PDB_Fertilizer!G39/1000*$D$22</f>
        <v>0</v>
      </c>
      <c r="H22" s="4">
        <f>PDB_Fertilizer!H39/1000*$D$22</f>
        <v>0</v>
      </c>
      <c r="I22" s="4">
        <f>PDB_Fertilizer!I39/1000*$D$22</f>
        <v>0</v>
      </c>
      <c r="J22" s="4">
        <f>Assumptions!$E$8</f>
        <v>0.28000000000000003</v>
      </c>
      <c r="K22" s="9">
        <f>Assumptions!$E$9</f>
        <v>0.11</v>
      </c>
      <c r="L22" s="4">
        <f t="shared" si="10"/>
        <v>0</v>
      </c>
      <c r="M22" s="4">
        <f t="shared" si="1"/>
        <v>0</v>
      </c>
      <c r="N22" s="4">
        <f t="shared" si="2"/>
        <v>0</v>
      </c>
      <c r="O22" s="4">
        <f t="shared" si="3"/>
        <v>0</v>
      </c>
      <c r="P22" s="4">
        <f t="shared" si="4"/>
        <v>0</v>
      </c>
      <c r="Q22" s="9">
        <f>Assumptions!$E$7</f>
        <v>0.01</v>
      </c>
      <c r="R22" s="9">
        <f t="shared" si="5"/>
        <v>0</v>
      </c>
      <c r="S22" s="9">
        <f t="shared" si="9"/>
        <v>0</v>
      </c>
      <c r="T22" s="9">
        <f t="shared" si="6"/>
        <v>0</v>
      </c>
      <c r="U22" s="9">
        <f t="shared" si="7"/>
        <v>0</v>
      </c>
      <c r="V22" s="9">
        <f t="shared" si="8"/>
        <v>0</v>
      </c>
      <c r="W22" s="9">
        <f>Assumptions!$E$6*R22</f>
        <v>0</v>
      </c>
      <c r="X22" s="9">
        <f>Assumptions!$E$6*S22</f>
        <v>0</v>
      </c>
      <c r="Y22" s="9">
        <f>Assumptions!$E$6*T22</f>
        <v>0</v>
      </c>
      <c r="Z22" s="9">
        <f>Assumptions!$E$6*U22</f>
        <v>0</v>
      </c>
      <c r="AA22" s="9">
        <f>Assumptions!$E$6*V22</f>
        <v>0</v>
      </c>
    </row>
    <row r="23" spans="1:27" x14ac:dyDescent="0.15">
      <c r="A23" s="5" t="s">
        <v>22</v>
      </c>
      <c r="B23" s="4"/>
      <c r="C23" s="4" t="s">
        <v>35</v>
      </c>
      <c r="D23" s="484">
        <f>Assumptions!D74</f>
        <v>3768.0449999999996</v>
      </c>
      <c r="E23" s="4">
        <f>PDB_Fertilizer!E42/1000*$D$19</f>
        <v>0</v>
      </c>
      <c r="F23" s="4">
        <f>PDB_Fertilizer!F42/1000*$D$19</f>
        <v>0</v>
      </c>
      <c r="G23" s="4">
        <f>PDB_Fertilizer!G42/1000*$D$19</f>
        <v>0</v>
      </c>
      <c r="H23" s="4">
        <f>PDB_Fertilizer!H42/1000*$D$19</f>
        <v>0</v>
      </c>
      <c r="I23" s="4">
        <f>PDB_Fertilizer!I42/1000*$D$19</f>
        <v>0</v>
      </c>
      <c r="J23" s="4">
        <f>Assumptions!$E$8</f>
        <v>0.28000000000000003</v>
      </c>
      <c r="K23" s="9">
        <f>Assumptions!$E$9</f>
        <v>0.11</v>
      </c>
      <c r="L23" s="4">
        <f t="shared" si="10"/>
        <v>0</v>
      </c>
      <c r="M23" s="4">
        <f t="shared" si="1"/>
        <v>0</v>
      </c>
      <c r="N23" s="4">
        <f t="shared" si="2"/>
        <v>0</v>
      </c>
      <c r="O23" s="4">
        <f t="shared" si="3"/>
        <v>0</v>
      </c>
      <c r="P23" s="4">
        <f t="shared" si="4"/>
        <v>0</v>
      </c>
      <c r="Q23" s="9">
        <f>Assumptions!$E$7</f>
        <v>0.01</v>
      </c>
      <c r="R23" s="9">
        <f t="shared" si="5"/>
        <v>0</v>
      </c>
      <c r="S23" s="9">
        <f t="shared" si="9"/>
        <v>0</v>
      </c>
      <c r="T23" s="9">
        <f t="shared" si="6"/>
        <v>0</v>
      </c>
      <c r="U23" s="9">
        <f t="shared" si="7"/>
        <v>0</v>
      </c>
      <c r="V23" s="9">
        <f t="shared" si="8"/>
        <v>0</v>
      </c>
      <c r="W23" s="9">
        <f>Assumptions!$E$6*R23</f>
        <v>0</v>
      </c>
      <c r="X23" s="9">
        <f>Assumptions!$E$6*S23</f>
        <v>0</v>
      </c>
      <c r="Y23" s="9">
        <f>Assumptions!$E$6*T23</f>
        <v>0</v>
      </c>
      <c r="Z23" s="9">
        <f>Assumptions!$E$6*U23</f>
        <v>0</v>
      </c>
      <c r="AA23" s="9">
        <f>Assumptions!$E$6*V23</f>
        <v>0</v>
      </c>
    </row>
    <row r="24" spans="1:27" x14ac:dyDescent="0.15">
      <c r="A24" s="5" t="s">
        <v>23</v>
      </c>
      <c r="B24" s="4"/>
      <c r="C24" s="4" t="s">
        <v>34</v>
      </c>
      <c r="D24" s="484">
        <f>Assumptions!D75</f>
        <v>236.66199999999998</v>
      </c>
      <c r="E24" s="4">
        <f>PDB_Fertilizer!E45/1000*$D$24</f>
        <v>0</v>
      </c>
      <c r="F24" s="4">
        <f>PDB_Fertilizer!F45/1000*$D$24</f>
        <v>0</v>
      </c>
      <c r="G24" s="4">
        <f>PDB_Fertilizer!G45/1000*$D$24</f>
        <v>0</v>
      </c>
      <c r="H24" s="4">
        <f>PDB_Fertilizer!H45/1000*$D$24</f>
        <v>0</v>
      </c>
      <c r="I24" s="4">
        <f>PDB_Fertilizer!I45/1000*$D$24</f>
        <v>0</v>
      </c>
      <c r="J24" s="4">
        <f>Assumptions!$E$8</f>
        <v>0.28000000000000003</v>
      </c>
      <c r="K24" s="9">
        <f>Assumptions!$E$9</f>
        <v>0.11</v>
      </c>
      <c r="L24" s="4">
        <f t="shared" si="10"/>
        <v>0</v>
      </c>
      <c r="M24" s="4">
        <f t="shared" si="1"/>
        <v>0</v>
      </c>
      <c r="N24" s="4">
        <f t="shared" si="2"/>
        <v>0</v>
      </c>
      <c r="O24" s="4">
        <f t="shared" si="3"/>
        <v>0</v>
      </c>
      <c r="P24" s="4">
        <f t="shared" si="4"/>
        <v>0</v>
      </c>
      <c r="Q24" s="9">
        <f>Assumptions!$E$7</f>
        <v>0.01</v>
      </c>
      <c r="R24" s="9">
        <f t="shared" si="5"/>
        <v>0</v>
      </c>
      <c r="S24" s="9">
        <f t="shared" si="9"/>
        <v>0</v>
      </c>
      <c r="T24" s="9">
        <f t="shared" si="6"/>
        <v>0</v>
      </c>
      <c r="U24" s="9">
        <f t="shared" si="7"/>
        <v>0</v>
      </c>
      <c r="V24" s="9">
        <f t="shared" si="8"/>
        <v>0</v>
      </c>
      <c r="W24" s="9">
        <f>Assumptions!$E$6*R24</f>
        <v>0</v>
      </c>
      <c r="X24" s="9">
        <f>Assumptions!$E$6*S24</f>
        <v>0</v>
      </c>
      <c r="Y24" s="9">
        <f>Assumptions!$E$6*T24</f>
        <v>0</v>
      </c>
      <c r="Z24" s="9">
        <f>Assumptions!$E$6*U24</f>
        <v>0</v>
      </c>
      <c r="AA24" s="9">
        <f>Assumptions!$E$6*V24</f>
        <v>0</v>
      </c>
    </row>
    <row r="25" spans="1:27" x14ac:dyDescent="0.15">
      <c r="A25" s="5" t="s">
        <v>24</v>
      </c>
      <c r="B25" s="4"/>
      <c r="C25" s="4" t="s">
        <v>35</v>
      </c>
      <c r="D25" s="484">
        <f>Assumptions!D76</f>
        <v>6640.8160000000016</v>
      </c>
      <c r="E25" s="4">
        <f>PDB_Fertilizer!E48/1000*$D$25</f>
        <v>0</v>
      </c>
      <c r="F25" s="4">
        <f>PDB_Fertilizer!F48/1000*$D$25</f>
        <v>0</v>
      </c>
      <c r="G25" s="4">
        <f>PDB_Fertilizer!G48/1000*$D$25</f>
        <v>0</v>
      </c>
      <c r="H25" s="4">
        <f>PDB_Fertilizer!H48/1000*$D$25</f>
        <v>0</v>
      </c>
      <c r="I25" s="4">
        <f>PDB_Fertilizer!I48/1000*$D$25</f>
        <v>0</v>
      </c>
      <c r="J25" s="4">
        <f>Assumptions!$E$8</f>
        <v>0.28000000000000003</v>
      </c>
      <c r="K25" s="9">
        <f>Assumptions!$E$9</f>
        <v>0.11</v>
      </c>
      <c r="L25" s="4">
        <f t="shared" si="10"/>
        <v>0</v>
      </c>
      <c r="M25" s="4">
        <f t="shared" si="1"/>
        <v>0</v>
      </c>
      <c r="N25" s="4">
        <f t="shared" si="2"/>
        <v>0</v>
      </c>
      <c r="O25" s="4">
        <f t="shared" si="3"/>
        <v>0</v>
      </c>
      <c r="P25" s="4">
        <f t="shared" si="4"/>
        <v>0</v>
      </c>
      <c r="Q25" s="9">
        <f>Assumptions!$E$7</f>
        <v>0.01</v>
      </c>
      <c r="R25" s="9">
        <f t="shared" si="5"/>
        <v>0</v>
      </c>
      <c r="S25" s="9">
        <f t="shared" si="9"/>
        <v>0</v>
      </c>
      <c r="T25" s="9">
        <f t="shared" si="6"/>
        <v>0</v>
      </c>
      <c r="U25" s="9">
        <f t="shared" si="7"/>
        <v>0</v>
      </c>
      <c r="V25" s="9">
        <f t="shared" si="8"/>
        <v>0</v>
      </c>
      <c r="W25" s="9">
        <f>Assumptions!$E$6*R25</f>
        <v>0</v>
      </c>
      <c r="X25" s="9">
        <f>Assumptions!$E$6*S25</f>
        <v>0</v>
      </c>
      <c r="Y25" s="9">
        <f>Assumptions!$E$6*T25</f>
        <v>0</v>
      </c>
      <c r="Z25" s="9">
        <f>Assumptions!$E$6*U25</f>
        <v>0</v>
      </c>
      <c r="AA25" s="9">
        <f>Assumptions!$E$6*V25</f>
        <v>0</v>
      </c>
    </row>
    <row r="26" spans="1:27" x14ac:dyDescent="0.15">
      <c r="A26" s="5" t="s">
        <v>25</v>
      </c>
      <c r="B26" s="4"/>
      <c r="C26" s="4" t="s">
        <v>36</v>
      </c>
      <c r="D26" s="484">
        <f>Assumptions!D77</f>
        <v>837.08299999999997</v>
      </c>
      <c r="E26" s="4">
        <f>PDB_Fertilizer!E51/1000*$D$25</f>
        <v>0</v>
      </c>
      <c r="F26" s="4">
        <f>PDB_Fertilizer!F51/1000*$D$25</f>
        <v>0</v>
      </c>
      <c r="G26" s="4">
        <f>PDB_Fertilizer!G51/1000*$D$25</f>
        <v>0</v>
      </c>
      <c r="H26" s="4">
        <f>PDB_Fertilizer!H51/1000*$D$25</f>
        <v>0</v>
      </c>
      <c r="I26" s="4">
        <f>PDB_Fertilizer!I51/1000*$D$25</f>
        <v>0</v>
      </c>
      <c r="J26" s="4">
        <f>Assumptions!$E$8</f>
        <v>0.28000000000000003</v>
      </c>
      <c r="K26" s="9">
        <f>Assumptions!$E$9</f>
        <v>0.11</v>
      </c>
      <c r="L26" s="4">
        <f t="shared" si="10"/>
        <v>0</v>
      </c>
      <c r="M26" s="4">
        <f t="shared" si="1"/>
        <v>0</v>
      </c>
      <c r="N26" s="4">
        <f t="shared" si="2"/>
        <v>0</v>
      </c>
      <c r="O26" s="4">
        <f t="shared" si="3"/>
        <v>0</v>
      </c>
      <c r="P26" s="4">
        <f t="shared" si="4"/>
        <v>0</v>
      </c>
      <c r="Q26" s="9">
        <f>Assumptions!$E$7</f>
        <v>0.01</v>
      </c>
      <c r="R26" s="9">
        <f t="shared" si="5"/>
        <v>0</v>
      </c>
      <c r="S26" s="9">
        <f t="shared" si="9"/>
        <v>0</v>
      </c>
      <c r="T26" s="9">
        <f t="shared" si="6"/>
        <v>0</v>
      </c>
      <c r="U26" s="9">
        <f t="shared" si="7"/>
        <v>0</v>
      </c>
      <c r="V26" s="9">
        <f t="shared" si="8"/>
        <v>0</v>
      </c>
      <c r="W26" s="9">
        <f>Assumptions!$E$6*R26</f>
        <v>0</v>
      </c>
      <c r="X26" s="9">
        <f>Assumptions!$E$6*S26</f>
        <v>0</v>
      </c>
      <c r="Y26" s="9">
        <f>Assumptions!$E$6*T26</f>
        <v>0</v>
      </c>
      <c r="Z26" s="9">
        <f>Assumptions!$E$6*U26</f>
        <v>0</v>
      </c>
      <c r="AA26" s="9">
        <f>Assumptions!$E$6*V26</f>
        <v>0</v>
      </c>
    </row>
    <row r="27" spans="1:27" x14ac:dyDescent="0.15">
      <c r="A27" s="5" t="s">
        <v>26</v>
      </c>
      <c r="B27" s="4"/>
      <c r="C27" s="4" t="s">
        <v>350</v>
      </c>
      <c r="D27" s="484">
        <f>Assumptions!D78</f>
        <v>1849.3409999999997</v>
      </c>
      <c r="E27" s="4">
        <f>PDB_Fertilizer!E54/1000*$D$27</f>
        <v>0</v>
      </c>
      <c r="F27" s="4">
        <f>PDB_Fertilizer!F54/1000*$D$27</f>
        <v>0</v>
      </c>
      <c r="G27" s="4">
        <f>PDB_Fertilizer!G54/1000*$D$27</f>
        <v>0</v>
      </c>
      <c r="H27" s="4">
        <f>PDB_Fertilizer!H54/1000*$D$27</f>
        <v>0</v>
      </c>
      <c r="I27" s="4">
        <f>PDB_Fertilizer!I54/1000*$D$27</f>
        <v>0</v>
      </c>
      <c r="J27" s="4">
        <f>Assumptions!$E$8</f>
        <v>0.28000000000000003</v>
      </c>
      <c r="K27" s="9">
        <f>Assumptions!$E$9</f>
        <v>0.11</v>
      </c>
      <c r="L27" s="4">
        <f t="shared" si="10"/>
        <v>0</v>
      </c>
      <c r="M27" s="4">
        <f t="shared" si="1"/>
        <v>0</v>
      </c>
      <c r="N27" s="4">
        <f t="shared" si="2"/>
        <v>0</v>
      </c>
      <c r="O27" s="4">
        <f t="shared" si="3"/>
        <v>0</v>
      </c>
      <c r="P27" s="4">
        <f t="shared" si="4"/>
        <v>0</v>
      </c>
      <c r="Q27" s="9">
        <f>Assumptions!$E$7</f>
        <v>0.01</v>
      </c>
      <c r="R27" s="9">
        <f t="shared" si="5"/>
        <v>0</v>
      </c>
      <c r="S27" s="9">
        <f t="shared" si="9"/>
        <v>0</v>
      </c>
      <c r="T27" s="9">
        <f t="shared" si="6"/>
        <v>0</v>
      </c>
      <c r="U27" s="9">
        <f t="shared" si="7"/>
        <v>0</v>
      </c>
      <c r="V27" s="9">
        <f t="shared" si="8"/>
        <v>0</v>
      </c>
      <c r="W27" s="9">
        <f>Assumptions!$E$6*R27</f>
        <v>0</v>
      </c>
      <c r="X27" s="9">
        <f>Assumptions!$E$6*S27</f>
        <v>0</v>
      </c>
      <c r="Y27" s="9">
        <f>Assumptions!$E$6*T27</f>
        <v>0</v>
      </c>
      <c r="Z27" s="9">
        <f>Assumptions!$E$6*U27</f>
        <v>0</v>
      </c>
      <c r="AA27" s="9">
        <f>Assumptions!$E$6*V27</f>
        <v>0</v>
      </c>
    </row>
    <row r="28" spans="1:27" x14ac:dyDescent="0.15">
      <c r="A28" s="5" t="s">
        <v>27</v>
      </c>
      <c r="B28" s="4"/>
      <c r="C28" s="4" t="s">
        <v>37</v>
      </c>
      <c r="D28" s="484">
        <f>Assumptions!D79</f>
        <v>7884.7310000000007</v>
      </c>
      <c r="E28" s="4">
        <f>PDB_Fertilizer!E57/1000*$D$28</f>
        <v>315.38924000000003</v>
      </c>
      <c r="F28" s="4">
        <f>PDB_Fertilizer!F57/1000*$D$28</f>
        <v>0</v>
      </c>
      <c r="G28" s="4">
        <f>PDB_Fertilizer!G57/1000*$D$28</f>
        <v>315.38924000000003</v>
      </c>
      <c r="H28" s="4">
        <f>PDB_Fertilizer!H57/1000*$D$28</f>
        <v>315.38924000000003</v>
      </c>
      <c r="I28" s="4">
        <f>PDB_Fertilizer!I57/1000*$D$28</f>
        <v>315.38924000000003</v>
      </c>
      <c r="J28" s="4">
        <f>Assumptions!$E$8</f>
        <v>0.28000000000000003</v>
      </c>
      <c r="K28" s="9">
        <f>Assumptions!$E$9</f>
        <v>0.11</v>
      </c>
      <c r="L28" s="4">
        <f t="shared" si="10"/>
        <v>78.594998608000012</v>
      </c>
      <c r="M28" s="4">
        <f t="shared" si="1"/>
        <v>0</v>
      </c>
      <c r="N28" s="4">
        <f t="shared" si="2"/>
        <v>78.594998608000012</v>
      </c>
      <c r="O28" s="4">
        <f t="shared" si="3"/>
        <v>78.594998608000012</v>
      </c>
      <c r="P28" s="4">
        <f t="shared" si="4"/>
        <v>78.594998608000012</v>
      </c>
      <c r="Q28" s="9">
        <f>Assumptions!$E$7</f>
        <v>0.01</v>
      </c>
      <c r="R28" s="9">
        <f t="shared" si="5"/>
        <v>1.2350642638400002</v>
      </c>
      <c r="S28" s="9">
        <f t="shared" si="9"/>
        <v>0</v>
      </c>
      <c r="T28" s="9">
        <f t="shared" si="6"/>
        <v>1.2350642638400002</v>
      </c>
      <c r="U28" s="9">
        <f t="shared" si="7"/>
        <v>1.2350642638400002</v>
      </c>
      <c r="V28" s="9">
        <f t="shared" si="8"/>
        <v>1.2350642638400002</v>
      </c>
      <c r="W28" s="9">
        <f>Assumptions!$E$6*R28</f>
        <v>327.29202991760008</v>
      </c>
      <c r="X28" s="9">
        <f>Assumptions!$E$6*S28</f>
        <v>0</v>
      </c>
      <c r="Y28" s="9">
        <f>Assumptions!$E$6*T28</f>
        <v>327.29202991760008</v>
      </c>
      <c r="Z28" s="9">
        <f>Assumptions!$E$6*U28</f>
        <v>327.29202991760008</v>
      </c>
      <c r="AA28" s="9">
        <f>Assumptions!$E$6*V28</f>
        <v>327.29202991760008</v>
      </c>
    </row>
    <row r="29" spans="1:27" x14ac:dyDescent="0.15">
      <c r="A29" s="5" t="s">
        <v>28</v>
      </c>
      <c r="B29" s="4"/>
      <c r="C29" s="4" t="s">
        <v>36</v>
      </c>
      <c r="D29" s="484">
        <f>Assumptions!D80</f>
        <v>2195.1750000000002</v>
      </c>
      <c r="E29" s="4">
        <f>PDB_Fertilizer!E60/1000*$D$29</f>
        <v>0</v>
      </c>
      <c r="F29" s="4">
        <f>PDB_Fertilizer!F60/1000*$D$29</f>
        <v>0</v>
      </c>
      <c r="G29" s="4">
        <f>PDB_Fertilizer!G60/1000*$D$29</f>
        <v>0</v>
      </c>
      <c r="H29" s="4">
        <f>PDB_Fertilizer!H60/1000*$D$29</f>
        <v>0</v>
      </c>
      <c r="I29" s="4">
        <f>PDB_Fertilizer!I60/1000*$D$29</f>
        <v>0</v>
      </c>
      <c r="J29" s="4">
        <f>Assumptions!$E$8</f>
        <v>0.28000000000000003</v>
      </c>
      <c r="K29" s="9">
        <f>Assumptions!$E$9</f>
        <v>0.11</v>
      </c>
      <c r="L29" s="4"/>
      <c r="M29" s="4"/>
      <c r="N29" s="4"/>
      <c r="O29" s="4"/>
      <c r="P29" s="4"/>
      <c r="Q29" s="9">
        <f>Assumptions!$E$7</f>
        <v>0.01</v>
      </c>
      <c r="R29" s="9">
        <f t="shared" si="5"/>
        <v>0</v>
      </c>
      <c r="S29" s="9">
        <f t="shared" si="9"/>
        <v>0</v>
      </c>
      <c r="T29" s="9">
        <f t="shared" si="6"/>
        <v>0</v>
      </c>
      <c r="U29" s="9">
        <f t="shared" si="7"/>
        <v>0</v>
      </c>
      <c r="V29" s="9">
        <f t="shared" si="8"/>
        <v>0</v>
      </c>
      <c r="W29" s="9">
        <f>Assumptions!$E$6*R29</f>
        <v>0</v>
      </c>
      <c r="X29" s="9">
        <f>Assumptions!$E$6*S29</f>
        <v>0</v>
      </c>
      <c r="Y29" s="9">
        <f>Assumptions!$E$6*T29</f>
        <v>0</v>
      </c>
      <c r="Z29" s="9">
        <f>Assumptions!$E$6*U29</f>
        <v>0</v>
      </c>
      <c r="AA29" s="9">
        <f>Assumptions!$E$6*V29</f>
        <v>0</v>
      </c>
    </row>
    <row r="30" spans="1:27" x14ac:dyDescent="0.15">
      <c r="A30" s="5" t="s">
        <v>29</v>
      </c>
      <c r="B30" s="4"/>
      <c r="C30" s="4" t="s">
        <v>37</v>
      </c>
      <c r="D30" s="484">
        <f>Assumptions!D81</f>
        <v>454.25200000000001</v>
      </c>
      <c r="E30" s="4">
        <f>PDB_Fertilizer!E63/1000*$D$30</f>
        <v>0</v>
      </c>
      <c r="F30" s="4">
        <f>PDB_Fertilizer!F63/1000*$D$30</f>
        <v>0</v>
      </c>
      <c r="G30" s="4">
        <f>PDB_Fertilizer!G63/1000*$D$30</f>
        <v>0</v>
      </c>
      <c r="H30" s="4">
        <f>PDB_Fertilizer!H63/1000*$D$30</f>
        <v>0</v>
      </c>
      <c r="I30" s="4">
        <f>PDB_Fertilizer!I63/1000*$D$30</f>
        <v>0</v>
      </c>
      <c r="J30" s="4">
        <f>Assumptions!$E$8</f>
        <v>0.28000000000000003</v>
      </c>
      <c r="K30" s="9">
        <f>Assumptions!$E$9</f>
        <v>0.11</v>
      </c>
      <c r="L30" s="4">
        <f t="shared" si="10"/>
        <v>0</v>
      </c>
      <c r="M30" s="4">
        <f t="shared" si="1"/>
        <v>0</v>
      </c>
      <c r="N30" s="4">
        <f t="shared" si="2"/>
        <v>0</v>
      </c>
      <c r="O30" s="4">
        <f t="shared" si="3"/>
        <v>0</v>
      </c>
      <c r="P30" s="4">
        <f t="shared" si="4"/>
        <v>0</v>
      </c>
      <c r="Q30" s="9">
        <f>Assumptions!$E$7</f>
        <v>0.01</v>
      </c>
      <c r="R30" s="9">
        <f t="shared" si="5"/>
        <v>0</v>
      </c>
      <c r="S30" s="9">
        <f t="shared" si="9"/>
        <v>0</v>
      </c>
      <c r="T30" s="9">
        <f t="shared" si="6"/>
        <v>0</v>
      </c>
      <c r="U30" s="9">
        <f t="shared" si="7"/>
        <v>0</v>
      </c>
      <c r="V30" s="9">
        <f t="shared" si="8"/>
        <v>0</v>
      </c>
      <c r="W30" s="9">
        <f>Assumptions!$E$6*R30</f>
        <v>0</v>
      </c>
      <c r="X30" s="9">
        <f>Assumptions!$E$6*S30</f>
        <v>0</v>
      </c>
      <c r="Y30" s="9">
        <f>Assumptions!$E$6*T30</f>
        <v>0</v>
      </c>
      <c r="Z30" s="9">
        <f>Assumptions!$E$6*U30</f>
        <v>0</v>
      </c>
      <c r="AA30" s="9">
        <f>Assumptions!$E$6*V30</f>
        <v>0</v>
      </c>
    </row>
    <row r="31" spans="1:27" ht="13" thickBot="1" x14ac:dyDescent="0.2">
      <c r="A31" s="5" t="s">
        <v>30</v>
      </c>
      <c r="B31" s="4"/>
      <c r="C31" s="4" t="s">
        <v>35</v>
      </c>
      <c r="D31" s="484">
        <f>Assumptions!D82</f>
        <v>18064.454000000005</v>
      </c>
      <c r="E31" s="4">
        <f>PDB_Fertilizer!E66/1000*$D$30</f>
        <v>0</v>
      </c>
      <c r="F31" s="4">
        <f>PDB_Fertilizer!F66/1000*$D$30</f>
        <v>0</v>
      </c>
      <c r="G31" s="4">
        <f>PDB_Fertilizer!G66/1000*$D$30</f>
        <v>0</v>
      </c>
      <c r="H31" s="4">
        <f>PDB_Fertilizer!H66/1000*$D$30</f>
        <v>0</v>
      </c>
      <c r="I31" s="4">
        <f>PDB_Fertilizer!I66/1000*$D$30</f>
        <v>0</v>
      </c>
      <c r="J31" s="4">
        <f>Assumptions!$E$8</f>
        <v>0.28000000000000003</v>
      </c>
      <c r="K31" s="9">
        <f>Assumptions!$E$9</f>
        <v>0.11</v>
      </c>
      <c r="L31" s="4">
        <f t="shared" si="10"/>
        <v>0</v>
      </c>
      <c r="M31" s="4">
        <f t="shared" si="1"/>
        <v>0</v>
      </c>
      <c r="N31" s="4">
        <f t="shared" si="2"/>
        <v>0</v>
      </c>
      <c r="O31" s="4">
        <f t="shared" si="3"/>
        <v>0</v>
      </c>
      <c r="P31" s="4">
        <f t="shared" si="4"/>
        <v>0</v>
      </c>
      <c r="Q31" s="9">
        <f>Assumptions!$E$7</f>
        <v>0.01</v>
      </c>
      <c r="R31" s="9">
        <f t="shared" si="5"/>
        <v>0</v>
      </c>
      <c r="S31" s="9">
        <f t="shared" si="9"/>
        <v>0</v>
      </c>
      <c r="T31" s="9">
        <f t="shared" si="6"/>
        <v>0</v>
      </c>
      <c r="U31" s="9">
        <f t="shared" si="7"/>
        <v>0</v>
      </c>
      <c r="V31" s="9">
        <f t="shared" si="8"/>
        <v>0</v>
      </c>
      <c r="W31" s="9">
        <f>Assumptions!$E$6*R31</f>
        <v>0</v>
      </c>
      <c r="X31" s="9">
        <f>Assumptions!$E$6*S31</f>
        <v>0</v>
      </c>
      <c r="Y31" s="9">
        <f>Assumptions!$E$6*T31</f>
        <v>0</v>
      </c>
      <c r="Z31" s="9">
        <f>Assumptions!$E$6*U31</f>
        <v>0</v>
      </c>
      <c r="AA31" s="9">
        <f>Assumptions!$E$6*V31</f>
        <v>0</v>
      </c>
    </row>
    <row r="32" spans="1:27" ht="16" thickBot="1" x14ac:dyDescent="0.2">
      <c r="D32" s="551" t="s">
        <v>670</v>
      </c>
      <c r="E32" s="552"/>
      <c r="F32" s="552"/>
      <c r="G32" s="552"/>
      <c r="H32" s="552"/>
      <c r="I32" s="552"/>
      <c r="J32" s="552"/>
      <c r="K32" s="552"/>
      <c r="L32" s="552"/>
      <c r="M32" s="552"/>
      <c r="N32" s="552"/>
      <c r="O32" s="552"/>
      <c r="P32" s="552"/>
      <c r="Q32" s="552"/>
      <c r="R32" s="552"/>
      <c r="S32" s="553"/>
      <c r="T32" s="553"/>
      <c r="U32" s="553"/>
      <c r="V32" s="554"/>
      <c r="W32" s="51">
        <f>SUM(W10:W31)</f>
        <v>572.50937151749042</v>
      </c>
      <c r="X32" s="51">
        <f>SUM(X10:X31)</f>
        <v>233.90371332669034</v>
      </c>
      <c r="Y32" s="51">
        <f>SUM(Y10:Y31)</f>
        <v>561.19574324429038</v>
      </c>
      <c r="Z32" s="51">
        <f>SUM(Z10:Z31)</f>
        <v>561.19574324429038</v>
      </c>
      <c r="AA32" s="51">
        <f>SUM(AA10:AA31)</f>
        <v>561.19574324429038</v>
      </c>
    </row>
    <row r="33" spans="4:27" ht="16" thickBot="1" x14ac:dyDescent="0.2">
      <c r="D33" s="551" t="s">
        <v>270</v>
      </c>
      <c r="E33" s="552"/>
      <c r="F33" s="552"/>
      <c r="G33" s="552"/>
      <c r="H33" s="552"/>
      <c r="I33" s="552"/>
      <c r="J33" s="552"/>
      <c r="K33" s="552"/>
      <c r="L33" s="552"/>
      <c r="M33" s="552"/>
      <c r="N33" s="552"/>
      <c r="O33" s="552"/>
      <c r="P33" s="552"/>
      <c r="Q33" s="552"/>
      <c r="R33" s="552"/>
      <c r="S33" s="553"/>
      <c r="T33" s="553"/>
      <c r="U33" s="553"/>
      <c r="V33" s="553"/>
      <c r="W33" s="66">
        <f>AVERAGE(W32:AA32)</f>
        <v>498.00006291541041</v>
      </c>
      <c r="X33" s="67"/>
      <c r="Y33" s="67"/>
      <c r="Z33" s="67"/>
      <c r="AA33" s="68"/>
    </row>
    <row r="36" spans="4:27" x14ac:dyDescent="0.15">
      <c r="D36" s="2" t="s">
        <v>351</v>
      </c>
      <c r="E36" s="476">
        <f>D10+D13+D14+D16+D24+D27</f>
        <v>6785.3499999999995</v>
      </c>
    </row>
    <row r="37" spans="4:27" x14ac:dyDescent="0.15">
      <c r="D37" s="2" t="s">
        <v>687</v>
      </c>
      <c r="E37" s="476">
        <f>D21+D28+D30</f>
        <v>10654.301000000001</v>
      </c>
    </row>
    <row r="38" spans="4:27" x14ac:dyDescent="0.15">
      <c r="D38" s="2" t="s">
        <v>36</v>
      </c>
      <c r="E38" s="476">
        <f>D17+D26+D29</f>
        <v>3773.527</v>
      </c>
    </row>
    <row r="39" spans="4:27" x14ac:dyDescent="0.15">
      <c r="D39" s="2" t="s">
        <v>688</v>
      </c>
      <c r="E39" s="476">
        <f>D11+D12+D15+D18+D19+D20+D22+D23+D25+D31</f>
        <v>70737.464000000007</v>
      </c>
    </row>
    <row r="40" spans="4:27" x14ac:dyDescent="0.15">
      <c r="E40" s="476">
        <f>SUM(E36:E39)</f>
        <v>91950.642000000007</v>
      </c>
    </row>
    <row r="44" spans="4:27" x14ac:dyDescent="0.15">
      <c r="E44" s="2">
        <f>E40+E40*50%</f>
        <v>137925.96300000002</v>
      </c>
    </row>
    <row r="45" spans="4:27" x14ac:dyDescent="0.15">
      <c r="E45" s="2">
        <f>E40-E40*50%</f>
        <v>45975.321000000004</v>
      </c>
    </row>
  </sheetData>
  <mergeCells count="13">
    <mergeCell ref="A1:F1"/>
    <mergeCell ref="W8:AA8"/>
    <mergeCell ref="W9:AA9"/>
    <mergeCell ref="D32:V32"/>
    <mergeCell ref="D33:V33"/>
    <mergeCell ref="A7:A9"/>
    <mergeCell ref="B7:B9"/>
    <mergeCell ref="C7:C9"/>
    <mergeCell ref="D7:D9"/>
    <mergeCell ref="E8:I8"/>
    <mergeCell ref="E9:I9"/>
    <mergeCell ref="R8:V8"/>
    <mergeCell ref="R9:V9"/>
  </mergeCells>
  <phoneticPr fontId="17" type="noConversion"/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44857-49B6-4A06-B590-ACF711C6475A}">
  <dimension ref="A1:AA33"/>
  <sheetViews>
    <sheetView zoomScale="99" zoomScaleNormal="99" workbookViewId="0">
      <selection activeCell="B13" sqref="B13"/>
    </sheetView>
  </sheetViews>
  <sheetFormatPr baseColWidth="10" defaultColWidth="8.83203125" defaultRowHeight="12" x14ac:dyDescent="0.15"/>
  <cols>
    <col min="1" max="1" width="12" style="8" customWidth="1"/>
    <col min="2" max="2" width="32.5" style="2" customWidth="1"/>
    <col min="3" max="3" width="13.33203125" style="2" customWidth="1"/>
    <col min="4" max="4" width="15" style="2" customWidth="1"/>
    <col min="5" max="10" width="15.5" style="2" customWidth="1"/>
    <col min="11" max="11" width="22.83203125" style="2" customWidth="1"/>
    <col min="12" max="16" width="20.6640625" style="2" customWidth="1"/>
    <col min="17" max="17" width="18.83203125" style="2" customWidth="1"/>
    <col min="18" max="22" width="15.83203125" style="2" customWidth="1"/>
    <col min="23" max="23" width="16.83203125" style="2" customWidth="1"/>
    <col min="24" max="24" width="13.1640625" style="2" customWidth="1"/>
    <col min="25" max="25" width="13.6640625" style="2" customWidth="1"/>
    <col min="26" max="26" width="12.5" style="2" customWidth="1"/>
    <col min="27" max="27" width="11.83203125" style="2" customWidth="1"/>
    <col min="28" max="16384" width="8.83203125" style="2"/>
  </cols>
  <sheetData>
    <row r="1" spans="1:27" ht="15" x14ac:dyDescent="0.2">
      <c r="A1" s="547" t="s">
        <v>415</v>
      </c>
      <c r="B1" s="547"/>
      <c r="C1" s="547"/>
      <c r="D1" s="547"/>
      <c r="E1" s="547"/>
      <c r="F1" s="547"/>
    </row>
    <row r="2" spans="1:27" ht="15" x14ac:dyDescent="0.2">
      <c r="A2" s="108" t="s">
        <v>416</v>
      </c>
      <c r="B2" s="108">
        <v>2710</v>
      </c>
      <c r="C2"/>
      <c r="D2"/>
      <c r="E2" s="11"/>
      <c r="F2"/>
    </row>
    <row r="3" spans="1:27" ht="15" x14ac:dyDescent="0.2">
      <c r="A3" s="108" t="s">
        <v>417</v>
      </c>
      <c r="B3" s="108">
        <v>6</v>
      </c>
      <c r="C3"/>
      <c r="D3"/>
      <c r="E3" s="11"/>
      <c r="F3"/>
    </row>
    <row r="6" spans="1:27" ht="92.5" customHeight="1" x14ac:dyDescent="0.15">
      <c r="A6" s="558" t="s">
        <v>8</v>
      </c>
      <c r="B6" s="558" t="s">
        <v>31</v>
      </c>
      <c r="C6" s="558" t="s">
        <v>32</v>
      </c>
      <c r="D6" s="558" t="s">
        <v>33</v>
      </c>
      <c r="E6" s="6" t="s">
        <v>254</v>
      </c>
      <c r="F6" s="6" t="s">
        <v>255</v>
      </c>
      <c r="G6" s="6" t="s">
        <v>256</v>
      </c>
      <c r="H6" s="6" t="s">
        <v>257</v>
      </c>
      <c r="I6" s="6" t="s">
        <v>386</v>
      </c>
      <c r="J6" s="6" t="s">
        <v>570</v>
      </c>
      <c r="K6" s="7" t="s">
        <v>47</v>
      </c>
      <c r="L6" s="7" t="s">
        <v>261</v>
      </c>
      <c r="M6" s="7" t="s">
        <v>264</v>
      </c>
      <c r="N6" s="7" t="s">
        <v>263</v>
      </c>
      <c r="O6" s="7" t="s">
        <v>262</v>
      </c>
      <c r="P6" s="7" t="s">
        <v>49</v>
      </c>
      <c r="Q6" s="7" t="s">
        <v>46</v>
      </c>
      <c r="R6" s="7" t="s">
        <v>265</v>
      </c>
      <c r="S6" s="7" t="s">
        <v>266</v>
      </c>
      <c r="T6" s="7" t="s">
        <v>267</v>
      </c>
      <c r="U6" s="7" t="s">
        <v>268</v>
      </c>
      <c r="V6" s="7" t="s">
        <v>48</v>
      </c>
      <c r="W6" s="7" t="s">
        <v>265</v>
      </c>
      <c r="X6" s="7" t="s">
        <v>266</v>
      </c>
      <c r="Y6" s="7" t="s">
        <v>269</v>
      </c>
      <c r="Z6" s="7" t="s">
        <v>268</v>
      </c>
      <c r="AA6" s="7" t="s">
        <v>48</v>
      </c>
    </row>
    <row r="7" spans="1:27" ht="15" x14ac:dyDescent="0.15">
      <c r="A7" s="559"/>
      <c r="B7" s="561"/>
      <c r="C7" s="561"/>
      <c r="D7" s="561"/>
      <c r="E7" s="548" t="s">
        <v>258</v>
      </c>
      <c r="F7" s="555"/>
      <c r="G7" s="555"/>
      <c r="H7" s="556"/>
      <c r="I7" s="557"/>
      <c r="J7" s="60" t="s">
        <v>259</v>
      </c>
      <c r="K7" s="9" t="s">
        <v>41</v>
      </c>
      <c r="L7" s="548" t="s">
        <v>260</v>
      </c>
      <c r="M7" s="556"/>
      <c r="N7" s="556"/>
      <c r="O7" s="556"/>
      <c r="P7" s="557"/>
      <c r="Q7" s="9" t="s">
        <v>43</v>
      </c>
      <c r="R7" s="548" t="s">
        <v>50</v>
      </c>
      <c r="S7" s="556"/>
      <c r="T7" s="556"/>
      <c r="U7" s="556"/>
      <c r="V7" s="557"/>
      <c r="W7" s="548" t="s">
        <v>51</v>
      </c>
      <c r="X7" s="549"/>
      <c r="Y7" s="549"/>
      <c r="Z7" s="549"/>
      <c r="AA7" s="550"/>
    </row>
    <row r="8" spans="1:27" ht="16.75" customHeight="1" x14ac:dyDescent="0.15">
      <c r="A8" s="560"/>
      <c r="B8" s="562"/>
      <c r="C8" s="562"/>
      <c r="D8" s="562"/>
      <c r="E8" s="548" t="s">
        <v>1</v>
      </c>
      <c r="F8" s="555"/>
      <c r="G8" s="555"/>
      <c r="H8" s="556"/>
      <c r="I8" s="557"/>
      <c r="J8" s="60" t="s">
        <v>2</v>
      </c>
      <c r="K8" s="7" t="s">
        <v>3</v>
      </c>
      <c r="L8" s="548" t="s">
        <v>0</v>
      </c>
      <c r="M8" s="556"/>
      <c r="N8" s="556"/>
      <c r="O8" s="556"/>
      <c r="P8" s="557"/>
      <c r="Q8" s="7" t="s">
        <v>4</v>
      </c>
      <c r="R8" s="548" t="s">
        <v>5</v>
      </c>
      <c r="S8" s="556"/>
      <c r="T8" s="556"/>
      <c r="U8" s="556"/>
      <c r="V8" s="557"/>
      <c r="W8" s="548" t="s">
        <v>6</v>
      </c>
      <c r="X8" s="549"/>
      <c r="Y8" s="549"/>
      <c r="Z8" s="549"/>
      <c r="AA8" s="550"/>
    </row>
    <row r="9" spans="1:27" x14ac:dyDescent="0.15">
      <c r="A9" s="3" t="s">
        <v>9</v>
      </c>
      <c r="B9" s="4" t="s">
        <v>709</v>
      </c>
      <c r="C9" s="4" t="s">
        <v>34</v>
      </c>
      <c r="D9" s="484">
        <f>Assumptions!D61</f>
        <v>183.761</v>
      </c>
      <c r="E9" s="4">
        <f>PDB_Fertilizer!J3/1000*$D$9</f>
        <v>0</v>
      </c>
      <c r="F9" s="4">
        <f>PDB_Fertilizer!K3/1000*$D$9</f>
        <v>0</v>
      </c>
      <c r="G9" s="4">
        <f>PDB_Fertilizer!L3/1000*$D$9</f>
        <v>0</v>
      </c>
      <c r="H9" s="4">
        <f>PDB_Fertilizer!M3/1000*$D$9</f>
        <v>0</v>
      </c>
      <c r="I9" s="4">
        <f>PDB_Fertilizer!N3/1000*$D$9</f>
        <v>0</v>
      </c>
      <c r="J9" s="4">
        <f>Assumptions!$E$28</f>
        <v>0.28000000000000003</v>
      </c>
      <c r="K9" s="9">
        <f>Assumptions!$E$9</f>
        <v>0.11</v>
      </c>
      <c r="L9" s="4">
        <f t="shared" ref="L9:L27" si="0">E9*$J$9*(1-$K$9)</f>
        <v>0</v>
      </c>
      <c r="M9" s="4">
        <f t="shared" ref="M9:M27" si="1">F9*$J$9*(1-$K$9)</f>
        <v>0</v>
      </c>
      <c r="N9" s="4">
        <f t="shared" ref="N9:P24" si="2">G9*$J$9*(1-$K$9)</f>
        <v>0</v>
      </c>
      <c r="O9" s="4">
        <f t="shared" si="2"/>
        <v>0</v>
      </c>
      <c r="P9" s="4">
        <f t="shared" si="2"/>
        <v>0</v>
      </c>
      <c r="Q9" s="9">
        <f>Assumptions!$E$7</f>
        <v>0.01</v>
      </c>
      <c r="R9" s="9">
        <f>L9*$Q$9*44/28</f>
        <v>0</v>
      </c>
      <c r="S9" s="9">
        <f>M9*$Q$9*44/28</f>
        <v>0</v>
      </c>
      <c r="T9" s="9">
        <f>N9*$Q$9*44/28</f>
        <v>0</v>
      </c>
      <c r="U9" s="9">
        <f>O9*$Q$9*44/28</f>
        <v>0</v>
      </c>
      <c r="V9" s="9">
        <f>P9*$Q$9*44/28</f>
        <v>0</v>
      </c>
      <c r="W9" s="9">
        <f>Assumptions!$E$6*R9</f>
        <v>0</v>
      </c>
      <c r="X9" s="9">
        <f>Assumptions!$E$6*S9</f>
        <v>0</v>
      </c>
      <c r="Y9" s="9">
        <f>Assumptions!$E$6*T9</f>
        <v>0</v>
      </c>
      <c r="Z9" s="9">
        <f>Assumptions!$E$6*U9</f>
        <v>0</v>
      </c>
      <c r="AA9" s="9">
        <f>Assumptions!$E$6*V9</f>
        <v>0</v>
      </c>
    </row>
    <row r="10" spans="1:27" x14ac:dyDescent="0.15">
      <c r="A10" s="5" t="s">
        <v>10</v>
      </c>
      <c r="B10" s="4"/>
      <c r="C10" s="4" t="s">
        <v>35</v>
      </c>
      <c r="D10" s="484">
        <f>Assumptions!D62</f>
        <v>6772.8780000000015</v>
      </c>
      <c r="E10" s="4">
        <f>PDB_Fertilizer!J6/1000*$D$10</f>
        <v>0</v>
      </c>
      <c r="F10" s="4">
        <f>PDB_Fertilizer!K6/1000*$D$10</f>
        <v>0</v>
      </c>
      <c r="G10" s="4">
        <f>PDB_Fertilizer!L6/1000*$D$10</f>
        <v>0</v>
      </c>
      <c r="H10" s="4">
        <f>PDB_Fertilizer!M6/1000*$D$10</f>
        <v>0</v>
      </c>
      <c r="I10" s="4">
        <f>PDB_Fertilizer!N6/1000*$D$10</f>
        <v>0</v>
      </c>
      <c r="J10" s="4">
        <f>Assumptions!$E$28</f>
        <v>0.28000000000000003</v>
      </c>
      <c r="K10" s="9">
        <f>Assumptions!$E$9</f>
        <v>0.11</v>
      </c>
      <c r="L10" s="4">
        <f t="shared" si="0"/>
        <v>0</v>
      </c>
      <c r="M10" s="4">
        <f t="shared" si="1"/>
        <v>0</v>
      </c>
      <c r="N10" s="4">
        <f t="shared" si="2"/>
        <v>0</v>
      </c>
      <c r="O10" s="4">
        <f t="shared" si="2"/>
        <v>0</v>
      </c>
      <c r="P10" s="4">
        <f t="shared" si="2"/>
        <v>0</v>
      </c>
      <c r="Q10" s="9">
        <f>Assumptions!$E$7</f>
        <v>0.01</v>
      </c>
      <c r="R10" s="9">
        <f t="shared" ref="R10:R30" si="3">L10*$Q$9*44/28</f>
        <v>0</v>
      </c>
      <c r="S10" s="9">
        <f t="shared" ref="S10:S30" si="4">M10*$Q$9*44/28</f>
        <v>0</v>
      </c>
      <c r="T10" s="9">
        <f t="shared" ref="T10:T30" si="5">N10*$Q$9*44/28</f>
        <v>0</v>
      </c>
      <c r="U10" s="9">
        <f t="shared" ref="U10:U30" si="6">O10*$Q$9*44/28</f>
        <v>0</v>
      </c>
      <c r="V10" s="9">
        <f t="shared" ref="V10:V30" si="7">P10*$Q$9*44/28</f>
        <v>0</v>
      </c>
      <c r="W10" s="9">
        <f>Assumptions!$E$6*R10</f>
        <v>0</v>
      </c>
      <c r="X10" s="9">
        <f>Assumptions!$E$6*S10</f>
        <v>0</v>
      </c>
      <c r="Y10" s="9">
        <f>Assumptions!$E$6*T10</f>
        <v>0</v>
      </c>
      <c r="Z10" s="9">
        <f>Assumptions!$E$6*U10</f>
        <v>0</v>
      </c>
      <c r="AA10" s="9">
        <f>Assumptions!$E$6*V10</f>
        <v>0</v>
      </c>
    </row>
    <row r="11" spans="1:27" x14ac:dyDescent="0.15">
      <c r="A11" s="5" t="s">
        <v>11</v>
      </c>
      <c r="B11" s="4"/>
      <c r="C11" s="4" t="s">
        <v>35</v>
      </c>
      <c r="D11" s="484">
        <f>Assumptions!D63</f>
        <v>4319.8270000000002</v>
      </c>
      <c r="E11" s="4">
        <f>PDB_Fertilizer!J9/1000*$D$11</f>
        <v>0</v>
      </c>
      <c r="F11" s="4">
        <f>PDB_Fertilizer!K9/1000*$D$11</f>
        <v>0</v>
      </c>
      <c r="G11" s="4">
        <f>PDB_Fertilizer!L9/1000*$D$11</f>
        <v>0</v>
      </c>
      <c r="H11" s="4">
        <f>PDB_Fertilizer!M9/1000*$D$11</f>
        <v>0</v>
      </c>
      <c r="I11" s="4">
        <f>PDB_Fertilizer!N9/1000*$D$11</f>
        <v>0</v>
      </c>
      <c r="J11" s="4">
        <f>Assumptions!$E$28</f>
        <v>0.28000000000000003</v>
      </c>
      <c r="K11" s="9">
        <f>Assumptions!$E$9</f>
        <v>0.11</v>
      </c>
      <c r="L11" s="4">
        <f t="shared" si="0"/>
        <v>0</v>
      </c>
      <c r="M11" s="4">
        <f t="shared" si="1"/>
        <v>0</v>
      </c>
      <c r="N11" s="4">
        <f t="shared" si="2"/>
        <v>0</v>
      </c>
      <c r="O11" s="4">
        <f t="shared" si="2"/>
        <v>0</v>
      </c>
      <c r="P11" s="4">
        <f t="shared" si="2"/>
        <v>0</v>
      </c>
      <c r="Q11" s="9">
        <f>Assumptions!$E$7</f>
        <v>0.01</v>
      </c>
      <c r="R11" s="9">
        <f t="shared" si="3"/>
        <v>0</v>
      </c>
      <c r="S11" s="9">
        <f t="shared" si="4"/>
        <v>0</v>
      </c>
      <c r="T11" s="9">
        <f t="shared" si="5"/>
        <v>0</v>
      </c>
      <c r="U11" s="9">
        <f t="shared" si="6"/>
        <v>0</v>
      </c>
      <c r="V11" s="9">
        <f t="shared" si="7"/>
        <v>0</v>
      </c>
      <c r="W11" s="9">
        <f>Assumptions!$E$6*R11</f>
        <v>0</v>
      </c>
      <c r="X11" s="9">
        <f>Assumptions!$E$6*S11</f>
        <v>0</v>
      </c>
      <c r="Y11" s="9">
        <f>Assumptions!$E$6*T11</f>
        <v>0</v>
      </c>
      <c r="Z11" s="9">
        <f>Assumptions!$E$6*U11</f>
        <v>0</v>
      </c>
      <c r="AA11" s="9">
        <f>Assumptions!$E$6*V11</f>
        <v>0</v>
      </c>
    </row>
    <row r="12" spans="1:27" x14ac:dyDescent="0.15">
      <c r="A12" s="5" t="s">
        <v>12</v>
      </c>
      <c r="B12" s="4"/>
      <c r="C12" s="4" t="s">
        <v>34</v>
      </c>
      <c r="D12" s="484">
        <f>Assumptions!D64</f>
        <v>1612.0500000000002</v>
      </c>
      <c r="E12" s="4">
        <f>PDB_Fertilizer!J12/1000*$D$12</f>
        <v>0</v>
      </c>
      <c r="F12" s="4">
        <f>PDB_Fertilizer!K12/1000*$D$12</f>
        <v>0</v>
      </c>
      <c r="G12" s="4">
        <f>PDB_Fertilizer!L12/1000*$D$12</f>
        <v>0</v>
      </c>
      <c r="H12" s="4">
        <f>PDB_Fertilizer!M12/1000*$D$12</f>
        <v>0</v>
      </c>
      <c r="I12" s="4">
        <f>PDB_Fertilizer!N12/1000*$D$12</f>
        <v>0</v>
      </c>
      <c r="J12" s="4">
        <f>Assumptions!$E$28</f>
        <v>0.28000000000000003</v>
      </c>
      <c r="K12" s="9">
        <f>Assumptions!$E$9</f>
        <v>0.11</v>
      </c>
      <c r="L12" s="4">
        <f t="shared" si="0"/>
        <v>0</v>
      </c>
      <c r="M12" s="4">
        <f t="shared" si="1"/>
        <v>0</v>
      </c>
      <c r="N12" s="4">
        <f t="shared" si="2"/>
        <v>0</v>
      </c>
      <c r="O12" s="4">
        <f t="shared" si="2"/>
        <v>0</v>
      </c>
      <c r="P12" s="4">
        <f t="shared" si="2"/>
        <v>0</v>
      </c>
      <c r="Q12" s="9">
        <f>Assumptions!$E$7</f>
        <v>0.01</v>
      </c>
      <c r="R12" s="9">
        <f t="shared" si="3"/>
        <v>0</v>
      </c>
      <c r="S12" s="9">
        <f t="shared" si="4"/>
        <v>0</v>
      </c>
      <c r="T12" s="9">
        <f t="shared" si="5"/>
        <v>0</v>
      </c>
      <c r="U12" s="9">
        <f t="shared" si="6"/>
        <v>0</v>
      </c>
      <c r="V12" s="9">
        <f t="shared" si="7"/>
        <v>0</v>
      </c>
      <c r="W12" s="9">
        <f>Assumptions!$E$6*R12</f>
        <v>0</v>
      </c>
      <c r="X12" s="9">
        <f>Assumptions!$E$6*S12</f>
        <v>0</v>
      </c>
      <c r="Y12" s="9">
        <f>Assumptions!$E$6*T12</f>
        <v>0</v>
      </c>
      <c r="Z12" s="9">
        <f>Assumptions!$E$6*U12</f>
        <v>0</v>
      </c>
      <c r="AA12" s="9">
        <f>Assumptions!$E$6*V12</f>
        <v>0</v>
      </c>
    </row>
    <row r="13" spans="1:27" x14ac:dyDescent="0.15">
      <c r="A13" s="5" t="s">
        <v>13</v>
      </c>
      <c r="B13" s="4"/>
      <c r="C13" s="4" t="s">
        <v>34</v>
      </c>
      <c r="D13" s="484">
        <f>Assumptions!D65</f>
        <v>353.58800000000002</v>
      </c>
      <c r="E13" s="4">
        <f>PDB_Fertilizer!J15/1000*$D$13</f>
        <v>0</v>
      </c>
      <c r="F13" s="4">
        <f>PDB_Fertilizer!K15/1000*$D$13</f>
        <v>0</v>
      </c>
      <c r="G13" s="4">
        <f>PDB_Fertilizer!L15/1000*$D$13</f>
        <v>0</v>
      </c>
      <c r="H13" s="4">
        <f>PDB_Fertilizer!M15/1000*$D$13</f>
        <v>0</v>
      </c>
      <c r="I13" s="4">
        <f>PDB_Fertilizer!N15/1000*$D$13</f>
        <v>0</v>
      </c>
      <c r="J13" s="4">
        <f>Assumptions!$E$28</f>
        <v>0.28000000000000003</v>
      </c>
      <c r="K13" s="9">
        <f>Assumptions!$E$9</f>
        <v>0.11</v>
      </c>
      <c r="L13" s="4">
        <f t="shared" si="0"/>
        <v>0</v>
      </c>
      <c r="M13" s="4">
        <f t="shared" si="1"/>
        <v>0</v>
      </c>
      <c r="N13" s="4">
        <f t="shared" si="2"/>
        <v>0</v>
      </c>
      <c r="O13" s="4">
        <f t="shared" si="2"/>
        <v>0</v>
      </c>
      <c r="P13" s="4">
        <f t="shared" si="2"/>
        <v>0</v>
      </c>
      <c r="Q13" s="9">
        <f>Assumptions!$E$7</f>
        <v>0.01</v>
      </c>
      <c r="R13" s="9">
        <f t="shared" si="3"/>
        <v>0</v>
      </c>
      <c r="S13" s="9">
        <f t="shared" si="4"/>
        <v>0</v>
      </c>
      <c r="T13" s="9">
        <f t="shared" si="5"/>
        <v>0</v>
      </c>
      <c r="U13" s="9">
        <f t="shared" si="6"/>
        <v>0</v>
      </c>
      <c r="V13" s="9">
        <f t="shared" si="7"/>
        <v>0</v>
      </c>
      <c r="W13" s="9">
        <f>Assumptions!$E$6*R13</f>
        <v>0</v>
      </c>
      <c r="X13" s="9">
        <f>Assumptions!$E$6*S13</f>
        <v>0</v>
      </c>
      <c r="Y13" s="9">
        <f>Assumptions!$E$6*T13</f>
        <v>0</v>
      </c>
      <c r="Z13" s="9">
        <f>Assumptions!$E$6*U13</f>
        <v>0</v>
      </c>
      <c r="AA13" s="9">
        <f>Assumptions!$E$6*V13</f>
        <v>0</v>
      </c>
    </row>
    <row r="14" spans="1:27" x14ac:dyDescent="0.15">
      <c r="A14" s="5" t="s">
        <v>14</v>
      </c>
      <c r="B14" s="4"/>
      <c r="C14" s="4" t="s">
        <v>35</v>
      </c>
      <c r="D14" s="484">
        <f>Assumptions!D66</f>
        <v>4915.7929999999997</v>
      </c>
      <c r="E14" s="4">
        <f>PDB_Fertilizer!J18/1000*$D$14</f>
        <v>0</v>
      </c>
      <c r="F14" s="4">
        <f>PDB_Fertilizer!K18/1000*$D$14</f>
        <v>0</v>
      </c>
      <c r="G14" s="4">
        <f>PDB_Fertilizer!L18/1000*$D$14</f>
        <v>0</v>
      </c>
      <c r="H14" s="4">
        <f>PDB_Fertilizer!M18/1000*$D$14</f>
        <v>0</v>
      </c>
      <c r="I14" s="4">
        <f>PDB_Fertilizer!N18/1000*$D$14</f>
        <v>0</v>
      </c>
      <c r="J14" s="4">
        <f>Assumptions!$E$28</f>
        <v>0.28000000000000003</v>
      </c>
      <c r="K14" s="9">
        <f>Assumptions!$E$9</f>
        <v>0.11</v>
      </c>
      <c r="L14" s="4">
        <f t="shared" si="0"/>
        <v>0</v>
      </c>
      <c r="M14" s="4">
        <f t="shared" si="1"/>
        <v>0</v>
      </c>
      <c r="N14" s="4">
        <f t="shared" si="2"/>
        <v>0</v>
      </c>
      <c r="O14" s="4">
        <f t="shared" si="2"/>
        <v>0</v>
      </c>
      <c r="P14" s="4">
        <f t="shared" si="2"/>
        <v>0</v>
      </c>
      <c r="Q14" s="9">
        <f>Assumptions!$E$7</f>
        <v>0.01</v>
      </c>
      <c r="R14" s="9">
        <f t="shared" si="3"/>
        <v>0</v>
      </c>
      <c r="S14" s="9">
        <f t="shared" si="4"/>
        <v>0</v>
      </c>
      <c r="T14" s="9">
        <f t="shared" si="5"/>
        <v>0</v>
      </c>
      <c r="U14" s="9">
        <f t="shared" si="6"/>
        <v>0</v>
      </c>
      <c r="V14" s="9">
        <f t="shared" si="7"/>
        <v>0</v>
      </c>
      <c r="W14" s="9">
        <f>Assumptions!$E$6*R14</f>
        <v>0</v>
      </c>
      <c r="X14" s="9">
        <f>Assumptions!$E$6*S14</f>
        <v>0</v>
      </c>
      <c r="Y14" s="9">
        <f>Assumptions!$E$6*T14</f>
        <v>0</v>
      </c>
      <c r="Z14" s="9">
        <f>Assumptions!$E$6*U14</f>
        <v>0</v>
      </c>
      <c r="AA14" s="9">
        <f>Assumptions!$E$6*V14</f>
        <v>0</v>
      </c>
    </row>
    <row r="15" spans="1:27" x14ac:dyDescent="0.15">
      <c r="A15" s="5" t="s">
        <v>15</v>
      </c>
      <c r="B15" s="4"/>
      <c r="C15" s="4" t="s">
        <v>34</v>
      </c>
      <c r="D15" s="484">
        <f>Assumptions!D67</f>
        <v>2549.9479999999994</v>
      </c>
      <c r="E15" s="4">
        <f>PDB_Fertilizer!J21/1000*$D$15</f>
        <v>29.579396799999991</v>
      </c>
      <c r="F15" s="4">
        <f>PDB_Fertilizer!K21/1000*$D$15</f>
        <v>29.579396799999991</v>
      </c>
      <c r="G15" s="4">
        <f>PDB_Fertilizer!L21/1000*$D$15</f>
        <v>29.579396799999991</v>
      </c>
      <c r="H15" s="4">
        <f>PDB_Fertilizer!M21/1000*$D$15</f>
        <v>29.579396799999991</v>
      </c>
      <c r="I15" s="4">
        <f>PDB_Fertilizer!N21/1000*$D$15</f>
        <v>29.579396799999991</v>
      </c>
      <c r="J15" s="4">
        <f>Assumptions!$E$28</f>
        <v>0.28000000000000003</v>
      </c>
      <c r="K15" s="9">
        <f>Assumptions!$E$9</f>
        <v>0.11</v>
      </c>
      <c r="L15" s="4">
        <f>E15*$J$9*(1-$K$9)+PDB_Fertilizer!J22*$D$15/1000*Assumptions!$E$29*(1-$K$9)</f>
        <v>14.763431895641599</v>
      </c>
      <c r="M15" s="4">
        <f>F15*$J$9*(1-$K$9)+PDB_Fertilizer!K22*$D$15/1000*Assumptions!$E$29*(1-$K$9)</f>
        <v>14.763431895641599</v>
      </c>
      <c r="N15" s="4">
        <f>G15*$J$9*(1-$K$9)+PDB_Fertilizer!L22*$D$15/1000*Assumptions!$E$29*(1-$K$9)</f>
        <v>14.763431895641599</v>
      </c>
      <c r="O15" s="4">
        <f>H15*$J$9*(1-$K$9)+PDB_Fertilizer!M22*$D$15/1000*Assumptions!$E$29*(1-$K$9)</f>
        <v>14.763431895641599</v>
      </c>
      <c r="P15" s="4">
        <f>I15*$J$9*(1-$K$9)+PDB_Fertilizer!N22*$D$15/1000*Assumptions!$E$29*(1-$K$9)</f>
        <v>14.763431895641599</v>
      </c>
      <c r="Q15" s="9">
        <f>Assumptions!$E$7</f>
        <v>0.01</v>
      </c>
      <c r="R15" s="9">
        <f t="shared" si="3"/>
        <v>0.23199678693151085</v>
      </c>
      <c r="S15" s="9">
        <f t="shared" si="4"/>
        <v>0.23199678693151085</v>
      </c>
      <c r="T15" s="9">
        <f t="shared" si="5"/>
        <v>0.23199678693151085</v>
      </c>
      <c r="U15" s="9">
        <f t="shared" si="6"/>
        <v>0.23199678693151085</v>
      </c>
      <c r="V15" s="9">
        <f t="shared" si="7"/>
        <v>0.23199678693151085</v>
      </c>
      <c r="W15" s="9">
        <f>Assumptions!$E$6*R15</f>
        <v>61.479148536850374</v>
      </c>
      <c r="X15" s="9">
        <f>Assumptions!$E$6*S15</f>
        <v>61.479148536850374</v>
      </c>
      <c r="Y15" s="9">
        <f>Assumptions!$E$6*T15</f>
        <v>61.479148536850374</v>
      </c>
      <c r="Z15" s="9">
        <f>Assumptions!$E$6*U15</f>
        <v>61.479148536850374</v>
      </c>
      <c r="AA15" s="9">
        <f>Assumptions!$E$6*V15</f>
        <v>61.479148536850374</v>
      </c>
    </row>
    <row r="16" spans="1:27" x14ac:dyDescent="0.15">
      <c r="A16" s="5" t="s">
        <v>16</v>
      </c>
      <c r="B16" s="4"/>
      <c r="C16" s="4" t="s">
        <v>36</v>
      </c>
      <c r="D16" s="484">
        <f>Assumptions!D68</f>
        <v>741.26900000000001</v>
      </c>
      <c r="E16" s="4">
        <f>PDB_Fertilizer!J24/1000*$D$16</f>
        <v>34.839643000000002</v>
      </c>
      <c r="F16" s="4">
        <f>PDB_Fertilizer!K24/1000*$D$16</f>
        <v>22.23807</v>
      </c>
      <c r="G16" s="4">
        <f>PDB_Fertilizer!L24/1000*$D$16</f>
        <v>22.23807</v>
      </c>
      <c r="H16" s="4">
        <f>PDB_Fertilizer!M24/1000*$D$16</f>
        <v>14.825380000000001</v>
      </c>
      <c r="I16" s="4">
        <f>PDB_Fertilizer!N24/1000*$D$16</f>
        <v>14.825380000000001</v>
      </c>
      <c r="J16" s="4">
        <f>Assumptions!$E$28</f>
        <v>0.28000000000000003</v>
      </c>
      <c r="K16" s="9">
        <f>Assumptions!$E$9</f>
        <v>0.11</v>
      </c>
      <c r="L16" s="4">
        <f t="shared" si="0"/>
        <v>8.6820390356000026</v>
      </c>
      <c r="M16" s="4">
        <f t="shared" si="1"/>
        <v>5.5417270440000008</v>
      </c>
      <c r="N16" s="4">
        <f t="shared" si="2"/>
        <v>5.5417270440000008</v>
      </c>
      <c r="O16" s="4">
        <f t="shared" si="2"/>
        <v>3.6944846960000008</v>
      </c>
      <c r="P16" s="4">
        <f t="shared" si="2"/>
        <v>3.6944846960000008</v>
      </c>
      <c r="Q16" s="9">
        <f>Assumptions!$E$7</f>
        <v>0.01</v>
      </c>
      <c r="R16" s="9">
        <f t="shared" si="3"/>
        <v>0.13643204198800005</v>
      </c>
      <c r="S16" s="9">
        <f t="shared" si="4"/>
        <v>8.7084282120000009E-2</v>
      </c>
      <c r="T16" s="9">
        <f t="shared" si="5"/>
        <v>8.7084282120000009E-2</v>
      </c>
      <c r="U16" s="9">
        <f t="shared" si="6"/>
        <v>5.8056188080000008E-2</v>
      </c>
      <c r="V16" s="9">
        <f t="shared" si="7"/>
        <v>5.8056188080000008E-2</v>
      </c>
      <c r="W16" s="9">
        <f>Assumptions!$E$6*R16</f>
        <v>36.154491126820012</v>
      </c>
      <c r="X16" s="9">
        <f>Assumptions!$E$6*S16</f>
        <v>23.077334761800003</v>
      </c>
      <c r="Y16" s="9">
        <f>Assumptions!$E$6*T16</f>
        <v>23.077334761800003</v>
      </c>
      <c r="Z16" s="9">
        <f>Assumptions!$E$6*U16</f>
        <v>15.384889841200001</v>
      </c>
      <c r="AA16" s="9">
        <f>Assumptions!$E$6*V16</f>
        <v>15.384889841200001</v>
      </c>
    </row>
    <row r="17" spans="1:27" x14ac:dyDescent="0.15">
      <c r="A17" s="5" t="s">
        <v>17</v>
      </c>
      <c r="B17" s="4"/>
      <c r="C17" s="4" t="s">
        <v>35</v>
      </c>
      <c r="D17" s="484">
        <f>Assumptions!D69</f>
        <v>8643.7000000000025</v>
      </c>
      <c r="E17" s="4">
        <f>PDB_Fertilizer!J27/1000*$D$17</f>
        <v>0</v>
      </c>
      <c r="F17" s="4">
        <f>PDB_Fertilizer!K27/1000*$D$17</f>
        <v>0</v>
      </c>
      <c r="G17" s="4">
        <f>PDB_Fertilizer!L27/1000*$D$17</f>
        <v>0</v>
      </c>
      <c r="H17" s="4">
        <f>PDB_Fertilizer!M27/1000*$D$17</f>
        <v>0</v>
      </c>
      <c r="I17" s="4">
        <f>PDB_Fertilizer!N27/1000*$D$17</f>
        <v>0</v>
      </c>
      <c r="J17" s="4">
        <f>Assumptions!$E$28</f>
        <v>0.28000000000000003</v>
      </c>
      <c r="K17" s="9">
        <f>Assumptions!$E$9</f>
        <v>0.11</v>
      </c>
      <c r="L17" s="4">
        <f t="shared" si="0"/>
        <v>0</v>
      </c>
      <c r="M17" s="4">
        <f t="shared" si="1"/>
        <v>0</v>
      </c>
      <c r="N17" s="4">
        <f t="shared" si="2"/>
        <v>0</v>
      </c>
      <c r="O17" s="4">
        <f t="shared" si="2"/>
        <v>0</v>
      </c>
      <c r="P17" s="4">
        <f t="shared" si="2"/>
        <v>0</v>
      </c>
      <c r="Q17" s="9">
        <f>Assumptions!$E$7</f>
        <v>0.01</v>
      </c>
      <c r="R17" s="9">
        <f t="shared" si="3"/>
        <v>0</v>
      </c>
      <c r="S17" s="9">
        <f t="shared" si="4"/>
        <v>0</v>
      </c>
      <c r="T17" s="9">
        <f t="shared" si="5"/>
        <v>0</v>
      </c>
      <c r="U17" s="9">
        <f t="shared" si="6"/>
        <v>0</v>
      </c>
      <c r="V17" s="9">
        <f t="shared" si="7"/>
        <v>0</v>
      </c>
      <c r="W17" s="9">
        <f>Assumptions!$E$6*R17</f>
        <v>0</v>
      </c>
      <c r="X17" s="9">
        <f>Assumptions!$E$6*S17</f>
        <v>0</v>
      </c>
      <c r="Y17" s="9">
        <f>Assumptions!$E$6*T17</f>
        <v>0</v>
      </c>
      <c r="Z17" s="9">
        <f>Assumptions!$E$6*U17</f>
        <v>0</v>
      </c>
      <c r="AA17" s="9">
        <f>Assumptions!$E$6*V17</f>
        <v>0</v>
      </c>
    </row>
    <row r="18" spans="1:27" x14ac:dyDescent="0.15">
      <c r="A18" s="5" t="s">
        <v>18</v>
      </c>
      <c r="B18" s="4"/>
      <c r="C18" s="4" t="s">
        <v>35</v>
      </c>
      <c r="D18" s="484">
        <f>Assumptions!D70</f>
        <v>2860.4270000000001</v>
      </c>
      <c r="E18" s="4">
        <f>PDB_Fertilizer!J30/1000*$D$18</f>
        <v>0</v>
      </c>
      <c r="F18" s="4">
        <f>PDB_Fertilizer!K30/1000*$D$18</f>
        <v>0</v>
      </c>
      <c r="G18" s="4">
        <f>PDB_Fertilizer!L30/1000*$D$18</f>
        <v>0</v>
      </c>
      <c r="H18" s="4">
        <f>PDB_Fertilizer!M30/1000*$D$18</f>
        <v>0</v>
      </c>
      <c r="I18" s="4">
        <f>PDB_Fertilizer!N30/1000*$D$18</f>
        <v>0</v>
      </c>
      <c r="J18" s="4">
        <f>Assumptions!$E$28</f>
        <v>0.28000000000000003</v>
      </c>
      <c r="K18" s="9">
        <f>Assumptions!$E$9</f>
        <v>0.11</v>
      </c>
      <c r="L18" s="4">
        <f t="shared" si="0"/>
        <v>0</v>
      </c>
      <c r="M18" s="4">
        <f t="shared" si="1"/>
        <v>0</v>
      </c>
      <c r="N18" s="4">
        <f t="shared" si="2"/>
        <v>0</v>
      </c>
      <c r="O18" s="4">
        <f t="shared" si="2"/>
        <v>0</v>
      </c>
      <c r="P18" s="4">
        <f t="shared" si="2"/>
        <v>0</v>
      </c>
      <c r="Q18" s="9">
        <f>Assumptions!$E$7</f>
        <v>0.01</v>
      </c>
      <c r="R18" s="9">
        <f t="shared" si="3"/>
        <v>0</v>
      </c>
      <c r="S18" s="9">
        <f t="shared" si="4"/>
        <v>0</v>
      </c>
      <c r="T18" s="9">
        <f t="shared" si="5"/>
        <v>0</v>
      </c>
      <c r="U18" s="9">
        <f t="shared" si="6"/>
        <v>0</v>
      </c>
      <c r="V18" s="9">
        <f t="shared" si="7"/>
        <v>0</v>
      </c>
      <c r="W18" s="9">
        <f>Assumptions!$E$6*R18</f>
        <v>0</v>
      </c>
      <c r="X18" s="9">
        <f>Assumptions!$E$6*S18</f>
        <v>0</v>
      </c>
      <c r="Y18" s="9">
        <f>Assumptions!$E$6*T18</f>
        <v>0</v>
      </c>
      <c r="Z18" s="9">
        <f>Assumptions!$E$6*U18</f>
        <v>0</v>
      </c>
      <c r="AA18" s="9">
        <f>Assumptions!$E$6*V18</f>
        <v>0</v>
      </c>
    </row>
    <row r="19" spans="1:27" x14ac:dyDescent="0.15">
      <c r="A19" s="5" t="s">
        <v>19</v>
      </c>
      <c r="B19" s="4"/>
      <c r="C19" s="4" t="s">
        <v>35</v>
      </c>
      <c r="D19" s="484">
        <f>Assumptions!D71</f>
        <v>9034.3230000000021</v>
      </c>
      <c r="E19" s="4">
        <f>PDB_Fertilizer!J33/1000*$D$19</f>
        <v>0</v>
      </c>
      <c r="F19" s="4">
        <f>PDB_Fertilizer!K33/1000*$D$19</f>
        <v>0</v>
      </c>
      <c r="G19" s="4">
        <f>PDB_Fertilizer!L33/1000*$D$19</f>
        <v>0</v>
      </c>
      <c r="H19" s="4">
        <f>PDB_Fertilizer!M33/1000*$D$19</f>
        <v>0</v>
      </c>
      <c r="I19" s="4">
        <f>PDB_Fertilizer!N33/1000*$D$19</f>
        <v>0</v>
      </c>
      <c r="J19" s="4">
        <f>Assumptions!$E$28</f>
        <v>0.28000000000000003</v>
      </c>
      <c r="K19" s="9">
        <f>Assumptions!$E$9</f>
        <v>0.11</v>
      </c>
      <c r="L19" s="4">
        <f t="shared" si="0"/>
        <v>0</v>
      </c>
      <c r="M19" s="4">
        <f t="shared" si="1"/>
        <v>0</v>
      </c>
      <c r="N19" s="4">
        <f t="shared" si="2"/>
        <v>0</v>
      </c>
      <c r="O19" s="4">
        <f t="shared" si="2"/>
        <v>0</v>
      </c>
      <c r="P19" s="4">
        <f t="shared" si="2"/>
        <v>0</v>
      </c>
      <c r="Q19" s="9">
        <f>Assumptions!$E$7</f>
        <v>0.01</v>
      </c>
      <c r="R19" s="9">
        <f t="shared" si="3"/>
        <v>0</v>
      </c>
      <c r="S19" s="9">
        <f t="shared" si="4"/>
        <v>0</v>
      </c>
      <c r="T19" s="9">
        <f t="shared" si="5"/>
        <v>0</v>
      </c>
      <c r="U19" s="9">
        <f t="shared" si="6"/>
        <v>0</v>
      </c>
      <c r="V19" s="9">
        <f t="shared" si="7"/>
        <v>0</v>
      </c>
      <c r="W19" s="9">
        <f>Assumptions!$E$6*R19</f>
        <v>0</v>
      </c>
      <c r="X19" s="9">
        <f>Assumptions!$E$6*S19</f>
        <v>0</v>
      </c>
      <c r="Y19" s="9">
        <f>Assumptions!$E$6*T19</f>
        <v>0</v>
      </c>
      <c r="Z19" s="9">
        <f>Assumptions!$E$6*U19</f>
        <v>0</v>
      </c>
      <c r="AA19" s="9">
        <f>Assumptions!$E$6*V19</f>
        <v>0</v>
      </c>
    </row>
    <row r="20" spans="1:27" x14ac:dyDescent="0.15">
      <c r="A20" s="5" t="s">
        <v>20</v>
      </c>
      <c r="B20" s="4"/>
      <c r="C20" s="4" t="s">
        <v>37</v>
      </c>
      <c r="D20" s="484">
        <f>Assumptions!D72</f>
        <v>2315.3180000000002</v>
      </c>
      <c r="E20" s="4">
        <f>PDB_Fertilizer!J36/1000*$D$20</f>
        <v>46.306360000000005</v>
      </c>
      <c r="F20" s="4">
        <f>PDB_Fertilizer!K36/1000*$D$20</f>
        <v>46.306360000000005</v>
      </c>
      <c r="G20" s="4">
        <f>PDB_Fertilizer!L36/1000*$D$20</f>
        <v>18.522544000000003</v>
      </c>
      <c r="H20" s="4">
        <f>PDB_Fertilizer!M36/1000*$D$20</f>
        <v>18.522544000000003</v>
      </c>
      <c r="I20" s="4">
        <f>PDB_Fertilizer!N36/1000*$D$20</f>
        <v>18.522544000000003</v>
      </c>
      <c r="J20" s="4">
        <f>Assumptions!$E$28</f>
        <v>0.28000000000000003</v>
      </c>
      <c r="K20" s="9">
        <f>Assumptions!$E$9</f>
        <v>0.11</v>
      </c>
      <c r="L20" s="4">
        <f t="shared" si="0"/>
        <v>11.539544912000002</v>
      </c>
      <c r="M20" s="4">
        <f t="shared" si="1"/>
        <v>11.539544912000002</v>
      </c>
      <c r="N20" s="4">
        <f t="shared" si="2"/>
        <v>4.6158179648000015</v>
      </c>
      <c r="O20" s="4">
        <f t="shared" si="2"/>
        <v>4.6158179648000015</v>
      </c>
      <c r="P20" s="4">
        <f t="shared" si="2"/>
        <v>4.6158179648000015</v>
      </c>
      <c r="Q20" s="9">
        <f>Assumptions!$E$7</f>
        <v>0.01</v>
      </c>
      <c r="R20" s="9">
        <f t="shared" si="3"/>
        <v>0.18133570576000002</v>
      </c>
      <c r="S20" s="9">
        <f t="shared" si="4"/>
        <v>0.18133570576000002</v>
      </c>
      <c r="T20" s="9">
        <f t="shared" si="5"/>
        <v>7.2534282304000025E-2</v>
      </c>
      <c r="U20" s="9">
        <f t="shared" si="6"/>
        <v>7.2534282304000025E-2</v>
      </c>
      <c r="V20" s="9">
        <f t="shared" si="7"/>
        <v>7.2534282304000025E-2</v>
      </c>
      <c r="W20" s="9">
        <f>Assumptions!$E$6*R20</f>
        <v>48.053962026400008</v>
      </c>
      <c r="X20" s="9">
        <f>Assumptions!$E$6*S20</f>
        <v>48.053962026400008</v>
      </c>
      <c r="Y20" s="9">
        <f>Assumptions!$E$6*T20</f>
        <v>19.221584810560007</v>
      </c>
      <c r="Z20" s="9">
        <f>Assumptions!$E$6*U20</f>
        <v>19.221584810560007</v>
      </c>
      <c r="AA20" s="9">
        <f>Assumptions!$E$6*V20</f>
        <v>19.221584810560007</v>
      </c>
    </row>
    <row r="21" spans="1:27" x14ac:dyDescent="0.15">
      <c r="A21" s="5" t="s">
        <v>21</v>
      </c>
      <c r="B21" s="4"/>
      <c r="C21" s="4" t="s">
        <v>35</v>
      </c>
      <c r="D21" s="484">
        <f>Assumptions!D73</f>
        <v>5717.201</v>
      </c>
      <c r="E21" s="4">
        <f>PDB_Fertilizer!J39/1000*$D$21</f>
        <v>0</v>
      </c>
      <c r="F21" s="4">
        <f>PDB_Fertilizer!K39/1000*$D$21</f>
        <v>0</v>
      </c>
      <c r="G21" s="4">
        <f>PDB_Fertilizer!L39/1000*$D$21</f>
        <v>0</v>
      </c>
      <c r="H21" s="4">
        <f>PDB_Fertilizer!M39/1000*$D$21</f>
        <v>0</v>
      </c>
      <c r="I21" s="4">
        <f>PDB_Fertilizer!N39/1000*$D$21</f>
        <v>0</v>
      </c>
      <c r="J21" s="4">
        <f>Assumptions!$E$28</f>
        <v>0.28000000000000003</v>
      </c>
      <c r="K21" s="9">
        <f>Assumptions!$E$9</f>
        <v>0.11</v>
      </c>
      <c r="L21" s="4">
        <f t="shared" si="0"/>
        <v>0</v>
      </c>
      <c r="M21" s="4">
        <f t="shared" si="1"/>
        <v>0</v>
      </c>
      <c r="N21" s="4">
        <f t="shared" si="2"/>
        <v>0</v>
      </c>
      <c r="O21" s="4">
        <f t="shared" si="2"/>
        <v>0</v>
      </c>
      <c r="P21" s="4">
        <f t="shared" si="2"/>
        <v>0</v>
      </c>
      <c r="Q21" s="9">
        <f>Assumptions!$E$7</f>
        <v>0.01</v>
      </c>
      <c r="R21" s="9">
        <f t="shared" si="3"/>
        <v>0</v>
      </c>
      <c r="S21" s="9">
        <f t="shared" si="4"/>
        <v>0</v>
      </c>
      <c r="T21" s="9">
        <f t="shared" si="5"/>
        <v>0</v>
      </c>
      <c r="U21" s="9">
        <f t="shared" si="6"/>
        <v>0</v>
      </c>
      <c r="V21" s="9">
        <f t="shared" si="7"/>
        <v>0</v>
      </c>
      <c r="W21" s="9">
        <f>Assumptions!$E$6*R21</f>
        <v>0</v>
      </c>
      <c r="X21" s="9">
        <f>Assumptions!$E$6*S21</f>
        <v>0</v>
      </c>
      <c r="Y21" s="9">
        <f>Assumptions!$E$6*T21</f>
        <v>0</v>
      </c>
      <c r="Z21" s="9">
        <f>Assumptions!$E$6*U21</f>
        <v>0</v>
      </c>
      <c r="AA21" s="9">
        <f>Assumptions!$E$6*V21</f>
        <v>0</v>
      </c>
    </row>
    <row r="22" spans="1:27" x14ac:dyDescent="0.15">
      <c r="A22" s="5" t="s">
        <v>22</v>
      </c>
      <c r="B22" s="4"/>
      <c r="C22" s="4" t="s">
        <v>35</v>
      </c>
      <c r="D22" s="484">
        <f>Assumptions!D74</f>
        <v>3768.0449999999996</v>
      </c>
      <c r="E22" s="4">
        <f>PDB_Fertilizer!J42/1000*$D$22</f>
        <v>0</v>
      </c>
      <c r="F22" s="4">
        <f>PDB_Fertilizer!K42/1000*$D$22</f>
        <v>0</v>
      </c>
      <c r="G22" s="4">
        <f>PDB_Fertilizer!L42/1000*$D$22</f>
        <v>0</v>
      </c>
      <c r="H22" s="4">
        <f>PDB_Fertilizer!M42/1000*$D$22</f>
        <v>0</v>
      </c>
      <c r="I22" s="4">
        <f>PDB_Fertilizer!N42/1000*$D$22</f>
        <v>0</v>
      </c>
      <c r="J22" s="4">
        <f>Assumptions!$E$28</f>
        <v>0.28000000000000003</v>
      </c>
      <c r="K22" s="9">
        <f>Assumptions!$E$9</f>
        <v>0.11</v>
      </c>
      <c r="L22" s="4">
        <f t="shared" si="0"/>
        <v>0</v>
      </c>
      <c r="M22" s="4">
        <f t="shared" si="1"/>
        <v>0</v>
      </c>
      <c r="N22" s="4">
        <f t="shared" si="2"/>
        <v>0</v>
      </c>
      <c r="O22" s="4">
        <f t="shared" si="2"/>
        <v>0</v>
      </c>
      <c r="P22" s="4">
        <f t="shared" si="2"/>
        <v>0</v>
      </c>
      <c r="Q22" s="9">
        <f>Assumptions!$E$7</f>
        <v>0.01</v>
      </c>
      <c r="R22" s="9">
        <f t="shared" si="3"/>
        <v>0</v>
      </c>
      <c r="S22" s="9">
        <f t="shared" si="4"/>
        <v>0</v>
      </c>
      <c r="T22" s="9">
        <f t="shared" si="5"/>
        <v>0</v>
      </c>
      <c r="U22" s="9">
        <f t="shared" si="6"/>
        <v>0</v>
      </c>
      <c r="V22" s="9">
        <f t="shared" si="7"/>
        <v>0</v>
      </c>
      <c r="W22" s="9">
        <f>Assumptions!$E$6*R22</f>
        <v>0</v>
      </c>
      <c r="X22" s="9">
        <f>Assumptions!$E$6*S22</f>
        <v>0</v>
      </c>
      <c r="Y22" s="9">
        <f>Assumptions!$E$6*T22</f>
        <v>0</v>
      </c>
      <c r="Z22" s="9">
        <f>Assumptions!$E$6*U22</f>
        <v>0</v>
      </c>
      <c r="AA22" s="9">
        <f>Assumptions!$E$6*V22</f>
        <v>0</v>
      </c>
    </row>
    <row r="23" spans="1:27" x14ac:dyDescent="0.15">
      <c r="A23" s="5" t="s">
        <v>23</v>
      </c>
      <c r="B23" s="4"/>
      <c r="C23" s="4" t="s">
        <v>34</v>
      </c>
      <c r="D23" s="484">
        <f>Assumptions!D75</f>
        <v>236.66199999999998</v>
      </c>
      <c r="E23" s="4">
        <f>PDB_Fertilizer!J45/1000*$D$23</f>
        <v>0</v>
      </c>
      <c r="F23" s="4">
        <f>PDB_Fertilizer!K45/1000*$D$23</f>
        <v>0</v>
      </c>
      <c r="G23" s="4">
        <f>PDB_Fertilizer!L45/1000*$D$23</f>
        <v>0</v>
      </c>
      <c r="H23" s="4">
        <f>PDB_Fertilizer!M45/1000*$D$23</f>
        <v>0</v>
      </c>
      <c r="I23" s="4">
        <f>PDB_Fertilizer!N45/1000*$D$23</f>
        <v>0</v>
      </c>
      <c r="J23" s="4">
        <f>Assumptions!$E$28</f>
        <v>0.28000000000000003</v>
      </c>
      <c r="K23" s="9">
        <f>Assumptions!$E$9</f>
        <v>0.11</v>
      </c>
      <c r="L23" s="4">
        <f t="shared" si="0"/>
        <v>0</v>
      </c>
      <c r="M23" s="4">
        <f t="shared" si="1"/>
        <v>0</v>
      </c>
      <c r="N23" s="4">
        <f t="shared" si="2"/>
        <v>0</v>
      </c>
      <c r="O23" s="4">
        <f t="shared" si="2"/>
        <v>0</v>
      </c>
      <c r="P23" s="4">
        <f t="shared" si="2"/>
        <v>0</v>
      </c>
      <c r="Q23" s="9">
        <f>Assumptions!$E$7</f>
        <v>0.01</v>
      </c>
      <c r="R23" s="9">
        <f t="shared" si="3"/>
        <v>0</v>
      </c>
      <c r="S23" s="9">
        <f t="shared" si="4"/>
        <v>0</v>
      </c>
      <c r="T23" s="9">
        <f t="shared" si="5"/>
        <v>0</v>
      </c>
      <c r="U23" s="9">
        <f t="shared" si="6"/>
        <v>0</v>
      </c>
      <c r="V23" s="9">
        <f t="shared" si="7"/>
        <v>0</v>
      </c>
      <c r="W23" s="9">
        <f>Assumptions!$E$6*R23</f>
        <v>0</v>
      </c>
      <c r="X23" s="9">
        <f>Assumptions!$E$6*S23</f>
        <v>0</v>
      </c>
      <c r="Y23" s="9">
        <f>Assumptions!$E$6*T23</f>
        <v>0</v>
      </c>
      <c r="Z23" s="9">
        <f>Assumptions!$E$6*U23</f>
        <v>0</v>
      </c>
      <c r="AA23" s="9">
        <f>Assumptions!$E$6*V23</f>
        <v>0</v>
      </c>
    </row>
    <row r="24" spans="1:27" x14ac:dyDescent="0.15">
      <c r="A24" s="5" t="s">
        <v>24</v>
      </c>
      <c r="B24" s="4"/>
      <c r="C24" s="4" t="s">
        <v>35</v>
      </c>
      <c r="D24" s="484">
        <f>Assumptions!D76</f>
        <v>6640.8160000000016</v>
      </c>
      <c r="E24" s="4">
        <f>PDB_Fertilizer!J48/1000*$D$24</f>
        <v>0</v>
      </c>
      <c r="F24" s="4">
        <f>PDB_Fertilizer!K48/1000*$D$24</f>
        <v>0</v>
      </c>
      <c r="G24" s="4">
        <f>PDB_Fertilizer!L48/1000*$D$24</f>
        <v>0</v>
      </c>
      <c r="H24" s="4">
        <f>PDB_Fertilizer!M48/1000*$D$24</f>
        <v>0</v>
      </c>
      <c r="I24" s="4">
        <f>PDB_Fertilizer!N48/1000*$D$24</f>
        <v>0</v>
      </c>
      <c r="J24" s="4">
        <f>Assumptions!$E$28</f>
        <v>0.28000000000000003</v>
      </c>
      <c r="K24" s="9">
        <f>Assumptions!$E$9</f>
        <v>0.11</v>
      </c>
      <c r="L24" s="4">
        <f t="shared" si="0"/>
        <v>0</v>
      </c>
      <c r="M24" s="4">
        <f t="shared" si="1"/>
        <v>0</v>
      </c>
      <c r="N24" s="4">
        <f t="shared" si="2"/>
        <v>0</v>
      </c>
      <c r="O24" s="4">
        <f t="shared" si="2"/>
        <v>0</v>
      </c>
      <c r="P24" s="4">
        <f t="shared" si="2"/>
        <v>0</v>
      </c>
      <c r="Q24" s="9">
        <f>Assumptions!$E$7</f>
        <v>0.01</v>
      </c>
      <c r="R24" s="9">
        <f t="shared" si="3"/>
        <v>0</v>
      </c>
      <c r="S24" s="9">
        <f t="shared" si="4"/>
        <v>0</v>
      </c>
      <c r="T24" s="9">
        <f t="shared" si="5"/>
        <v>0</v>
      </c>
      <c r="U24" s="9">
        <f t="shared" si="6"/>
        <v>0</v>
      </c>
      <c r="V24" s="9">
        <f t="shared" si="7"/>
        <v>0</v>
      </c>
      <c r="W24" s="9">
        <f>Assumptions!$E$6*R24</f>
        <v>0</v>
      </c>
      <c r="X24" s="9">
        <f>Assumptions!$E$6*S24</f>
        <v>0</v>
      </c>
      <c r="Y24" s="9">
        <f>Assumptions!$E$6*T24</f>
        <v>0</v>
      </c>
      <c r="Z24" s="9">
        <f>Assumptions!$E$6*U24</f>
        <v>0</v>
      </c>
      <c r="AA24" s="9">
        <f>Assumptions!$E$6*V24</f>
        <v>0</v>
      </c>
    </row>
    <row r="25" spans="1:27" x14ac:dyDescent="0.15">
      <c r="A25" s="5" t="s">
        <v>25</v>
      </c>
      <c r="B25" s="4"/>
      <c r="C25" s="4" t="s">
        <v>36</v>
      </c>
      <c r="D25" s="484">
        <f>Assumptions!D77</f>
        <v>837.08299999999997</v>
      </c>
      <c r="E25" s="4">
        <f>PDB_Fertilizer!J51/1000*$D$25</f>
        <v>0</v>
      </c>
      <c r="F25" s="4">
        <f>PDB_Fertilizer!K51/1000*$D$25</f>
        <v>0</v>
      </c>
      <c r="G25" s="4">
        <f>PDB_Fertilizer!L51/1000*$D$25</f>
        <v>0</v>
      </c>
      <c r="H25" s="4">
        <f>PDB_Fertilizer!M51/1000*$D$25</f>
        <v>0</v>
      </c>
      <c r="I25" s="4">
        <f>PDB_Fertilizer!N51/1000*$D$25</f>
        <v>0</v>
      </c>
      <c r="J25" s="4">
        <f>Assumptions!$E$28</f>
        <v>0.28000000000000003</v>
      </c>
      <c r="K25" s="9">
        <f>Assumptions!$E$9</f>
        <v>0.11</v>
      </c>
      <c r="L25" s="4">
        <f t="shared" si="0"/>
        <v>0</v>
      </c>
      <c r="M25" s="4">
        <f t="shared" si="1"/>
        <v>0</v>
      </c>
      <c r="N25" s="4">
        <f t="shared" ref="N25:P27" si="8">G25*$J$9*(1-$K$9)</f>
        <v>0</v>
      </c>
      <c r="O25" s="4">
        <f t="shared" si="8"/>
        <v>0</v>
      </c>
      <c r="P25" s="4">
        <f t="shared" si="8"/>
        <v>0</v>
      </c>
      <c r="Q25" s="9">
        <f>Assumptions!$E$7</f>
        <v>0.01</v>
      </c>
      <c r="R25" s="9">
        <f t="shared" si="3"/>
        <v>0</v>
      </c>
      <c r="S25" s="9">
        <f t="shared" si="4"/>
        <v>0</v>
      </c>
      <c r="T25" s="9">
        <f t="shared" si="5"/>
        <v>0</v>
      </c>
      <c r="U25" s="9">
        <f t="shared" si="6"/>
        <v>0</v>
      </c>
      <c r="V25" s="9">
        <f t="shared" si="7"/>
        <v>0</v>
      </c>
      <c r="W25" s="9">
        <f>Assumptions!$E$6*R25</f>
        <v>0</v>
      </c>
      <c r="X25" s="9">
        <f>Assumptions!$E$6*S25</f>
        <v>0</v>
      </c>
      <c r="Y25" s="9">
        <f>Assumptions!$E$6*T25</f>
        <v>0</v>
      </c>
      <c r="Z25" s="9">
        <f>Assumptions!$E$6*U25</f>
        <v>0</v>
      </c>
      <c r="AA25" s="9">
        <f>Assumptions!$E$6*V25</f>
        <v>0</v>
      </c>
    </row>
    <row r="26" spans="1:27" x14ac:dyDescent="0.15">
      <c r="A26" s="5" t="s">
        <v>26</v>
      </c>
      <c r="B26" s="4"/>
      <c r="C26" s="4" t="s">
        <v>350</v>
      </c>
      <c r="D26" s="484">
        <f>Assumptions!D78</f>
        <v>1849.3409999999997</v>
      </c>
      <c r="E26" s="4">
        <f>PDB_Fertilizer!J54/1000*$D$26</f>
        <v>0</v>
      </c>
      <c r="F26" s="4">
        <f>PDB_Fertilizer!K54/1000*$D$26</f>
        <v>0</v>
      </c>
      <c r="G26" s="4">
        <f>PDB_Fertilizer!L54/1000*$D$26</f>
        <v>0</v>
      </c>
      <c r="H26" s="4">
        <f>PDB_Fertilizer!M54/1000*$D$26</f>
        <v>0</v>
      </c>
      <c r="I26" s="4">
        <f>PDB_Fertilizer!N54/1000*$D$26</f>
        <v>0</v>
      </c>
      <c r="J26" s="4">
        <f>Assumptions!$E$28</f>
        <v>0.28000000000000003</v>
      </c>
      <c r="K26" s="9">
        <f>Assumptions!$E$9</f>
        <v>0.11</v>
      </c>
      <c r="L26" s="4">
        <f t="shared" si="0"/>
        <v>0</v>
      </c>
      <c r="M26" s="4">
        <f t="shared" si="1"/>
        <v>0</v>
      </c>
      <c r="N26" s="4">
        <f t="shared" si="8"/>
        <v>0</v>
      </c>
      <c r="O26" s="4">
        <f t="shared" si="8"/>
        <v>0</v>
      </c>
      <c r="P26" s="4">
        <f t="shared" si="8"/>
        <v>0</v>
      </c>
      <c r="Q26" s="9">
        <f>Assumptions!$E$7</f>
        <v>0.01</v>
      </c>
      <c r="R26" s="9">
        <f t="shared" si="3"/>
        <v>0</v>
      </c>
      <c r="S26" s="9">
        <f t="shared" si="4"/>
        <v>0</v>
      </c>
      <c r="T26" s="9">
        <f t="shared" si="5"/>
        <v>0</v>
      </c>
      <c r="U26" s="9">
        <f t="shared" si="6"/>
        <v>0</v>
      </c>
      <c r="V26" s="9">
        <f t="shared" si="7"/>
        <v>0</v>
      </c>
      <c r="W26" s="9">
        <f>Assumptions!$E$6*R26</f>
        <v>0</v>
      </c>
      <c r="X26" s="9">
        <f>Assumptions!$E$6*S26</f>
        <v>0</v>
      </c>
      <c r="Y26" s="9">
        <f>Assumptions!$E$6*T26</f>
        <v>0</v>
      </c>
      <c r="Z26" s="9">
        <f>Assumptions!$E$6*U26</f>
        <v>0</v>
      </c>
      <c r="AA26" s="9">
        <f>Assumptions!$E$6*V26</f>
        <v>0</v>
      </c>
    </row>
    <row r="27" spans="1:27" x14ac:dyDescent="0.15">
      <c r="A27" s="5" t="s">
        <v>27</v>
      </c>
      <c r="B27" s="4"/>
      <c r="C27" s="4" t="s">
        <v>37</v>
      </c>
      <c r="D27" s="484">
        <f>Assumptions!D79</f>
        <v>7884.7310000000007</v>
      </c>
      <c r="E27" s="4">
        <f>PDB_Fertilizer!J57/1000*$D$27</f>
        <v>315.38924000000003</v>
      </c>
      <c r="F27" s="4">
        <f>PDB_Fertilizer!K57/1000*$D$27</f>
        <v>315.38924000000003</v>
      </c>
      <c r="G27" s="4">
        <f>PDB_Fertilizer!L57/1000*$D$27</f>
        <v>315.38924000000003</v>
      </c>
      <c r="H27" s="4">
        <f>PDB_Fertilizer!M57/1000*$D$27</f>
        <v>315.38924000000003</v>
      </c>
      <c r="I27" s="4">
        <f>PDB_Fertilizer!N57/1000*$D$27</f>
        <v>315.38924000000003</v>
      </c>
      <c r="J27" s="4">
        <f>Assumptions!$E$28</f>
        <v>0.28000000000000003</v>
      </c>
      <c r="K27" s="9">
        <f>Assumptions!$E$9</f>
        <v>0.11</v>
      </c>
      <c r="L27" s="4">
        <f t="shared" si="0"/>
        <v>78.594998608000012</v>
      </c>
      <c r="M27" s="4">
        <f t="shared" si="1"/>
        <v>78.594998608000012</v>
      </c>
      <c r="N27" s="4">
        <f t="shared" si="8"/>
        <v>78.594998608000012</v>
      </c>
      <c r="O27" s="4">
        <f t="shared" si="8"/>
        <v>78.594998608000012</v>
      </c>
      <c r="P27" s="4">
        <f t="shared" si="8"/>
        <v>78.594998608000012</v>
      </c>
      <c r="Q27" s="9">
        <f>Assumptions!$E$7</f>
        <v>0.01</v>
      </c>
      <c r="R27" s="9">
        <f t="shared" si="3"/>
        <v>1.2350642638400002</v>
      </c>
      <c r="S27" s="9">
        <f t="shared" si="4"/>
        <v>1.2350642638400002</v>
      </c>
      <c r="T27" s="9">
        <f t="shared" si="5"/>
        <v>1.2350642638400002</v>
      </c>
      <c r="U27" s="9">
        <f t="shared" si="6"/>
        <v>1.2350642638400002</v>
      </c>
      <c r="V27" s="9">
        <f t="shared" si="7"/>
        <v>1.2350642638400002</v>
      </c>
      <c r="W27" s="9">
        <f>Assumptions!$E$6*R27</f>
        <v>327.29202991760008</v>
      </c>
      <c r="X27" s="9">
        <f>Assumptions!$E$6*S27</f>
        <v>327.29202991760008</v>
      </c>
      <c r="Y27" s="9">
        <f>Assumptions!$E$6*T27</f>
        <v>327.29202991760008</v>
      </c>
      <c r="Z27" s="9">
        <f>Assumptions!$E$6*U27</f>
        <v>327.29202991760008</v>
      </c>
      <c r="AA27" s="9">
        <f>Assumptions!$E$6*V27</f>
        <v>327.29202991760008</v>
      </c>
    </row>
    <row r="28" spans="1:27" x14ac:dyDescent="0.15">
      <c r="A28" s="5" t="s">
        <v>28</v>
      </c>
      <c r="B28" s="4"/>
      <c r="C28" s="4" t="s">
        <v>36</v>
      </c>
      <c r="D28" s="484">
        <f>Assumptions!D80</f>
        <v>2195.1750000000002</v>
      </c>
      <c r="E28" s="4">
        <f>PDB_Fertilizer!J60/1000*$D$28</f>
        <v>0</v>
      </c>
      <c r="F28" s="4">
        <f>PDB_Fertilizer!K60/1000*$D$28</f>
        <v>0</v>
      </c>
      <c r="G28" s="4">
        <f>PDB_Fertilizer!L60/1000*$D$28</f>
        <v>0</v>
      </c>
      <c r="H28" s="4">
        <f>PDB_Fertilizer!M60/1000*$D$28</f>
        <v>0</v>
      </c>
      <c r="I28" s="4">
        <f>PDB_Fertilizer!N60/1000*$D$28</f>
        <v>0</v>
      </c>
      <c r="J28" s="4">
        <f>Assumptions!$E$28</f>
        <v>0.28000000000000003</v>
      </c>
      <c r="K28" s="9">
        <f>Assumptions!$E$9</f>
        <v>0.11</v>
      </c>
      <c r="L28" s="4">
        <f t="shared" ref="L28:P30" si="9">E28*$J$9*(1-$K$9)</f>
        <v>0</v>
      </c>
      <c r="M28" s="4">
        <f t="shared" si="9"/>
        <v>0</v>
      </c>
      <c r="N28" s="4">
        <f t="shared" si="9"/>
        <v>0</v>
      </c>
      <c r="O28" s="4">
        <f t="shared" si="9"/>
        <v>0</v>
      </c>
      <c r="P28" s="4">
        <f t="shared" si="9"/>
        <v>0</v>
      </c>
      <c r="Q28" s="9">
        <f>Assumptions!$E$7</f>
        <v>0.01</v>
      </c>
      <c r="R28" s="9">
        <f t="shared" si="3"/>
        <v>0</v>
      </c>
      <c r="S28" s="9">
        <f t="shared" si="4"/>
        <v>0</v>
      </c>
      <c r="T28" s="9">
        <f t="shared" si="5"/>
        <v>0</v>
      </c>
      <c r="U28" s="9">
        <f t="shared" si="6"/>
        <v>0</v>
      </c>
      <c r="V28" s="9">
        <f t="shared" si="7"/>
        <v>0</v>
      </c>
      <c r="W28" s="9">
        <f>Assumptions!$E$6*R28</f>
        <v>0</v>
      </c>
      <c r="X28" s="9">
        <f>Assumptions!$E$6*S28</f>
        <v>0</v>
      </c>
      <c r="Y28" s="9">
        <f>Assumptions!$E$6*T28</f>
        <v>0</v>
      </c>
      <c r="Z28" s="9">
        <f>Assumptions!$E$6*U28</f>
        <v>0</v>
      </c>
      <c r="AA28" s="9">
        <f>Assumptions!$E$6*V28</f>
        <v>0</v>
      </c>
    </row>
    <row r="29" spans="1:27" x14ac:dyDescent="0.15">
      <c r="A29" s="5" t="s">
        <v>29</v>
      </c>
      <c r="B29" s="4"/>
      <c r="C29" s="4" t="s">
        <v>37</v>
      </c>
      <c r="D29" s="484">
        <f>Assumptions!D81</f>
        <v>454.25200000000001</v>
      </c>
      <c r="E29" s="4">
        <f>PDB_Fertilizer!J63/1000*$D$29</f>
        <v>0</v>
      </c>
      <c r="F29" s="4">
        <f>PDB_Fertilizer!K63/1000*$D$29</f>
        <v>0</v>
      </c>
      <c r="G29" s="4">
        <f>PDB_Fertilizer!L63/1000*$D$29</f>
        <v>0</v>
      </c>
      <c r="H29" s="4">
        <f>PDB_Fertilizer!M63/1000*$D$29</f>
        <v>0</v>
      </c>
      <c r="I29" s="4">
        <f>PDB_Fertilizer!N63/1000*$D$29</f>
        <v>0</v>
      </c>
      <c r="J29" s="4">
        <f>Assumptions!$E$28</f>
        <v>0.28000000000000003</v>
      </c>
      <c r="K29" s="9">
        <f>Assumptions!$E$9</f>
        <v>0.11</v>
      </c>
      <c r="L29" s="4">
        <f t="shared" si="9"/>
        <v>0</v>
      </c>
      <c r="M29" s="4">
        <f t="shared" si="9"/>
        <v>0</v>
      </c>
      <c r="N29" s="4">
        <f t="shared" si="9"/>
        <v>0</v>
      </c>
      <c r="O29" s="4">
        <f t="shared" si="9"/>
        <v>0</v>
      </c>
      <c r="P29" s="4">
        <f t="shared" si="9"/>
        <v>0</v>
      </c>
      <c r="Q29" s="9">
        <f>Assumptions!$E$7</f>
        <v>0.01</v>
      </c>
      <c r="R29" s="9">
        <f t="shared" si="3"/>
        <v>0</v>
      </c>
      <c r="S29" s="9">
        <f t="shared" si="4"/>
        <v>0</v>
      </c>
      <c r="T29" s="9">
        <f t="shared" si="5"/>
        <v>0</v>
      </c>
      <c r="U29" s="9">
        <f t="shared" si="6"/>
        <v>0</v>
      </c>
      <c r="V29" s="9">
        <f t="shared" si="7"/>
        <v>0</v>
      </c>
      <c r="W29" s="9">
        <f>Assumptions!$E$6*R29</f>
        <v>0</v>
      </c>
      <c r="X29" s="9">
        <f>Assumptions!$E$6*S29</f>
        <v>0</v>
      </c>
      <c r="Y29" s="9">
        <f>Assumptions!$E$6*T29</f>
        <v>0</v>
      </c>
      <c r="Z29" s="9">
        <f>Assumptions!$E$6*U29</f>
        <v>0</v>
      </c>
      <c r="AA29" s="9">
        <f>Assumptions!$E$6*V29</f>
        <v>0</v>
      </c>
    </row>
    <row r="30" spans="1:27" ht="13" thickBot="1" x14ac:dyDescent="0.2">
      <c r="A30" s="5" t="s">
        <v>30</v>
      </c>
      <c r="B30" s="4"/>
      <c r="C30" s="4" t="s">
        <v>35</v>
      </c>
      <c r="D30" s="484">
        <f>Assumptions!D82</f>
        <v>18064.454000000005</v>
      </c>
      <c r="E30" s="4">
        <f>PDB_Fertilizer!J66/1000*$D$30</f>
        <v>0</v>
      </c>
      <c r="F30" s="4">
        <f>PDB_Fertilizer!K66/1000*$D$30</f>
        <v>0</v>
      </c>
      <c r="G30" s="4">
        <f>PDB_Fertilizer!L66/1000*$D$30</f>
        <v>0</v>
      </c>
      <c r="H30" s="4">
        <f>PDB_Fertilizer!M66/1000*$D$30</f>
        <v>0</v>
      </c>
      <c r="I30" s="4">
        <f>PDB_Fertilizer!N66/1000*$D$30</f>
        <v>0</v>
      </c>
      <c r="J30" s="4">
        <f>Assumptions!$E$28</f>
        <v>0.28000000000000003</v>
      </c>
      <c r="K30" s="9">
        <f>Assumptions!$E$9</f>
        <v>0.11</v>
      </c>
      <c r="L30" s="4">
        <f t="shared" si="9"/>
        <v>0</v>
      </c>
      <c r="M30" s="4">
        <f t="shared" si="9"/>
        <v>0</v>
      </c>
      <c r="N30" s="4">
        <f t="shared" si="9"/>
        <v>0</v>
      </c>
      <c r="O30" s="4">
        <f t="shared" si="9"/>
        <v>0</v>
      </c>
      <c r="P30" s="4">
        <f t="shared" si="9"/>
        <v>0</v>
      </c>
      <c r="Q30" s="9">
        <f>Assumptions!$E$7</f>
        <v>0.01</v>
      </c>
      <c r="R30" s="9">
        <f t="shared" si="3"/>
        <v>0</v>
      </c>
      <c r="S30" s="9">
        <f t="shared" si="4"/>
        <v>0</v>
      </c>
      <c r="T30" s="9">
        <f t="shared" si="5"/>
        <v>0</v>
      </c>
      <c r="U30" s="9">
        <f t="shared" si="6"/>
        <v>0</v>
      </c>
      <c r="V30" s="9">
        <f t="shared" si="7"/>
        <v>0</v>
      </c>
      <c r="W30" s="9">
        <f>Assumptions!$E$6*R30</f>
        <v>0</v>
      </c>
      <c r="X30" s="9">
        <f>Assumptions!$E$6*S30</f>
        <v>0</v>
      </c>
      <c r="Y30" s="9">
        <f>Assumptions!$E$6*T30</f>
        <v>0</v>
      </c>
      <c r="Z30" s="9">
        <f>Assumptions!$E$6*U30</f>
        <v>0</v>
      </c>
      <c r="AA30" s="9">
        <f>Assumptions!$E$6*V30</f>
        <v>0</v>
      </c>
    </row>
    <row r="31" spans="1:27" ht="16" thickBot="1" x14ac:dyDescent="0.2">
      <c r="D31" s="551" t="s">
        <v>670</v>
      </c>
      <c r="E31" s="552"/>
      <c r="F31" s="552"/>
      <c r="G31" s="552"/>
      <c r="H31" s="552"/>
      <c r="I31" s="552"/>
      <c r="J31" s="552"/>
      <c r="K31" s="552"/>
      <c r="L31" s="552"/>
      <c r="M31" s="552"/>
      <c r="N31" s="552"/>
      <c r="O31" s="552"/>
      <c r="P31" s="552"/>
      <c r="Q31" s="552"/>
      <c r="R31" s="552"/>
      <c r="S31" s="553"/>
      <c r="T31" s="553"/>
      <c r="U31" s="553"/>
      <c r="V31" s="554"/>
      <c r="W31" s="4">
        <f>SUM(W9:W30)</f>
        <v>472.97963160767046</v>
      </c>
      <c r="X31" s="4">
        <f t="shared" ref="X31:AA31" si="10">SUM(X9:X30)</f>
        <v>459.90247524265044</v>
      </c>
      <c r="Y31" s="4">
        <f t="shared" si="10"/>
        <v>431.07009802681046</v>
      </c>
      <c r="Z31" s="4">
        <f t="shared" si="10"/>
        <v>423.37765310621046</v>
      </c>
      <c r="AA31" s="4">
        <f t="shared" si="10"/>
        <v>423.37765310621046</v>
      </c>
    </row>
    <row r="32" spans="1:27" x14ac:dyDescent="0.15">
      <c r="D32" s="86"/>
    </row>
    <row r="33" spans="4:4" x14ac:dyDescent="0.15">
      <c r="D33" s="86"/>
    </row>
  </sheetData>
  <mergeCells count="14">
    <mergeCell ref="D31:V31"/>
    <mergeCell ref="L7:P7"/>
    <mergeCell ref="L8:P8"/>
    <mergeCell ref="R7:V7"/>
    <mergeCell ref="A6:A8"/>
    <mergeCell ref="B6:B8"/>
    <mergeCell ref="C6:C8"/>
    <mergeCell ref="D6:D8"/>
    <mergeCell ref="E7:I7"/>
    <mergeCell ref="A1:F1"/>
    <mergeCell ref="W7:AA7"/>
    <mergeCell ref="E8:I8"/>
    <mergeCell ref="R8:V8"/>
    <mergeCell ref="W8:AA8"/>
  </mergeCells>
  <phoneticPr fontId="17" type="noConversion"/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618DA-AAF6-4F6C-870C-BA21A4029B28}">
  <dimension ref="A1:AH59"/>
  <sheetViews>
    <sheetView zoomScale="83" zoomScaleNormal="83" workbookViewId="0">
      <selection activeCell="B8" sqref="B8"/>
    </sheetView>
  </sheetViews>
  <sheetFormatPr baseColWidth="10" defaultColWidth="8.83203125" defaultRowHeight="12" x14ac:dyDescent="0.15"/>
  <cols>
    <col min="1" max="1" width="8.83203125" style="2"/>
    <col min="2" max="2" width="28.5" style="2" customWidth="1"/>
    <col min="3" max="3" width="13.6640625" style="2" customWidth="1"/>
    <col min="4" max="4" width="8.83203125" style="2"/>
    <col min="5" max="9" width="10.33203125" style="2" customWidth="1"/>
    <col min="10" max="14" width="11.5" style="2" customWidth="1"/>
    <col min="15" max="15" width="10.83203125" style="2" customWidth="1"/>
    <col min="16" max="16" width="11.83203125" style="2" customWidth="1"/>
    <col min="17" max="18" width="11.1640625" style="2" customWidth="1"/>
    <col min="19" max="23" width="12.33203125" style="2" customWidth="1"/>
    <col min="24" max="24" width="11.1640625" style="2" customWidth="1"/>
    <col min="25" max="25" width="13.1640625" style="2" customWidth="1"/>
    <col min="26" max="26" width="13.33203125" style="2" customWidth="1"/>
    <col min="27" max="27" width="12.6640625" style="2" customWidth="1"/>
    <col min="28" max="28" width="11.6640625" style="2" customWidth="1"/>
    <col min="29" max="29" width="11.83203125" style="2" customWidth="1"/>
    <col min="30" max="30" width="13" style="2" customWidth="1"/>
    <col min="31" max="31" width="13.5" style="2" customWidth="1"/>
    <col min="32" max="32" width="13.1640625" style="2" customWidth="1"/>
    <col min="33" max="33" width="11.6640625" style="2" customWidth="1"/>
    <col min="34" max="34" width="10.6640625" style="2" bestFit="1" customWidth="1"/>
    <col min="35" max="16384" width="8.83203125" style="2"/>
  </cols>
  <sheetData>
    <row r="1" spans="1:34" ht="15" x14ac:dyDescent="0.2">
      <c r="A1" s="547" t="s">
        <v>415</v>
      </c>
      <c r="B1" s="547"/>
      <c r="C1" s="547"/>
      <c r="D1" s="547"/>
      <c r="E1" s="547"/>
      <c r="F1" s="547"/>
    </row>
    <row r="2" spans="1:34" ht="15" x14ac:dyDescent="0.2">
      <c r="A2" s="108" t="s">
        <v>416</v>
      </c>
      <c r="B2" s="108">
        <v>2710</v>
      </c>
      <c r="C2"/>
      <c r="D2"/>
      <c r="E2" s="11"/>
      <c r="F2"/>
    </row>
    <row r="3" spans="1:34" ht="15" x14ac:dyDescent="0.2">
      <c r="A3" s="108" t="s">
        <v>417</v>
      </c>
      <c r="B3" s="108">
        <v>6</v>
      </c>
      <c r="C3"/>
      <c r="D3"/>
      <c r="E3" s="11"/>
      <c r="F3"/>
    </row>
    <row r="5" spans="1:34" ht="73.25" customHeight="1" x14ac:dyDescent="0.15">
      <c r="A5" s="499" t="s">
        <v>8</v>
      </c>
      <c r="B5" s="499" t="s">
        <v>31</v>
      </c>
      <c r="C5" s="499" t="s">
        <v>32</v>
      </c>
      <c r="D5" s="499" t="s">
        <v>65</v>
      </c>
      <c r="E5" s="6" t="s">
        <v>207</v>
      </c>
      <c r="F5" s="6" t="s">
        <v>208</v>
      </c>
      <c r="G5" s="6" t="s">
        <v>209</v>
      </c>
      <c r="H5" s="6" t="s">
        <v>210</v>
      </c>
      <c r="I5" s="6" t="s">
        <v>211</v>
      </c>
      <c r="J5" s="6" t="s">
        <v>271</v>
      </c>
      <c r="K5" s="6" t="s">
        <v>272</v>
      </c>
      <c r="L5" s="6" t="s">
        <v>273</v>
      </c>
      <c r="M5" s="6" t="s">
        <v>274</v>
      </c>
      <c r="N5" s="6" t="s">
        <v>275</v>
      </c>
      <c r="O5" s="6" t="s">
        <v>54</v>
      </c>
      <c r="P5" s="6" t="s">
        <v>56</v>
      </c>
      <c r="Q5" s="6" t="s">
        <v>58</v>
      </c>
      <c r="R5" s="6" t="s">
        <v>66</v>
      </c>
      <c r="S5" s="6" t="s">
        <v>62</v>
      </c>
      <c r="T5" s="6" t="s">
        <v>276</v>
      </c>
      <c r="U5" s="6" t="s">
        <v>277</v>
      </c>
      <c r="V5" s="6" t="s">
        <v>278</v>
      </c>
      <c r="W5" s="6" t="s">
        <v>279</v>
      </c>
      <c r="X5" s="6" t="s">
        <v>280</v>
      </c>
      <c r="Y5" s="6" t="s">
        <v>281</v>
      </c>
      <c r="Z5" s="6" t="s">
        <v>282</v>
      </c>
      <c r="AA5" s="6" t="s">
        <v>283</v>
      </c>
      <c r="AB5" s="6" t="s">
        <v>284</v>
      </c>
      <c r="AC5" s="6" t="s">
        <v>285</v>
      </c>
      <c r="AD5" s="6" t="s">
        <v>286</v>
      </c>
      <c r="AE5" s="6" t="s">
        <v>287</v>
      </c>
      <c r="AF5" s="6" t="s">
        <v>288</v>
      </c>
      <c r="AG5" s="6" t="s">
        <v>289</v>
      </c>
      <c r="AH5" s="6" t="s">
        <v>290</v>
      </c>
    </row>
    <row r="6" spans="1:34" ht="15" x14ac:dyDescent="0.15">
      <c r="A6" s="500"/>
      <c r="B6" s="501"/>
      <c r="C6" s="501"/>
      <c r="D6" s="501"/>
      <c r="E6" s="548" t="s">
        <v>67</v>
      </c>
      <c r="F6" s="556"/>
      <c r="G6" s="556"/>
      <c r="H6" s="556"/>
      <c r="I6" s="557"/>
      <c r="J6" s="548" t="s">
        <v>68</v>
      </c>
      <c r="K6" s="556"/>
      <c r="L6" s="556"/>
      <c r="M6" s="556"/>
      <c r="N6" s="557"/>
      <c r="O6" s="4" t="s">
        <v>69</v>
      </c>
      <c r="P6" s="4" t="s">
        <v>70</v>
      </c>
      <c r="Q6" s="4" t="s">
        <v>71</v>
      </c>
      <c r="R6" s="4" t="s">
        <v>72</v>
      </c>
      <c r="S6" s="4" t="s">
        <v>73</v>
      </c>
      <c r="T6" s="548" t="s">
        <v>74</v>
      </c>
      <c r="U6" s="556"/>
      <c r="V6" s="556"/>
      <c r="W6" s="556"/>
      <c r="X6" s="557"/>
      <c r="Y6" s="548" t="s">
        <v>75</v>
      </c>
      <c r="Z6" s="556"/>
      <c r="AA6" s="556"/>
      <c r="AB6" s="556"/>
      <c r="AC6" s="557"/>
      <c r="AD6" s="563" t="s">
        <v>76</v>
      </c>
      <c r="AE6" s="564"/>
      <c r="AF6" s="564"/>
      <c r="AG6" s="564"/>
      <c r="AH6" s="564"/>
    </row>
    <row r="7" spans="1:34" ht="37.75" customHeight="1" x14ac:dyDescent="0.15">
      <c r="A7" s="500"/>
      <c r="B7" s="501"/>
      <c r="C7" s="501"/>
      <c r="D7" s="501"/>
      <c r="E7" s="548" t="s">
        <v>52</v>
      </c>
      <c r="F7" s="556"/>
      <c r="G7" s="556"/>
      <c r="H7" s="556"/>
      <c r="I7" s="557"/>
      <c r="J7" s="548" t="s">
        <v>53</v>
      </c>
      <c r="K7" s="556"/>
      <c r="L7" s="556"/>
      <c r="M7" s="556"/>
      <c r="N7" s="557"/>
      <c r="O7" s="6" t="s">
        <v>55</v>
      </c>
      <c r="P7" s="6" t="s">
        <v>57</v>
      </c>
      <c r="Q7" s="6" t="s">
        <v>59</v>
      </c>
      <c r="R7" s="6" t="s">
        <v>61</v>
      </c>
      <c r="S7" s="4" t="s">
        <v>63</v>
      </c>
      <c r="T7" s="548" t="s">
        <v>60</v>
      </c>
      <c r="U7" s="556"/>
      <c r="V7" s="556"/>
      <c r="W7" s="556"/>
      <c r="X7" s="557"/>
      <c r="Y7" s="548" t="s">
        <v>60</v>
      </c>
      <c r="Z7" s="556"/>
      <c r="AA7" s="556"/>
      <c r="AB7" s="556"/>
      <c r="AC7" s="557"/>
      <c r="AD7" s="500" t="s">
        <v>60</v>
      </c>
      <c r="AE7" s="525"/>
      <c r="AF7" s="525"/>
      <c r="AG7" s="525"/>
      <c r="AH7" s="525"/>
    </row>
    <row r="8" spans="1:34" x14ac:dyDescent="0.15">
      <c r="A8" s="3" t="s">
        <v>9</v>
      </c>
      <c r="B8" s="4" t="s">
        <v>709</v>
      </c>
      <c r="C8" s="4" t="s">
        <v>34</v>
      </c>
      <c r="D8" s="484">
        <f>Assumptions!D61</f>
        <v>183.761</v>
      </c>
      <c r="E8" s="4">
        <f>PDB_Burning!C8</f>
        <v>69.739999999999995</v>
      </c>
      <c r="F8" s="4">
        <f>PDB_Burning!F8</f>
        <v>69.739999999999995</v>
      </c>
      <c r="G8" s="4">
        <f>PDB_Burning!I8</f>
        <v>69.739999999999995</v>
      </c>
      <c r="H8" s="4">
        <f>PDB_Burning!L8</f>
        <v>70.12</v>
      </c>
      <c r="I8" s="4">
        <f>PDB_Burning!O8</f>
        <v>73.430000000000007</v>
      </c>
      <c r="J8" s="101">
        <f>PDB_Burning!D8-PDB_Burning!E8</f>
        <v>0.20799999999999999</v>
      </c>
      <c r="K8" s="101">
        <f>PDB_Burning!G8-PDB_Burning!H8</f>
        <v>0.21125000000000002</v>
      </c>
      <c r="L8" s="101">
        <f>PDB_Burning!J8-PDB_Burning!K8</f>
        <v>0.219</v>
      </c>
      <c r="M8" s="101">
        <f>PDB_Burning!M8-PDB_Burning!N8</f>
        <v>0.21825</v>
      </c>
      <c r="N8" s="101">
        <f>PDB_Burning!P8-PDB_Burning!Q8</f>
        <v>0.21850000000000006</v>
      </c>
      <c r="O8" s="4">
        <f>Assumptions!$E$10</f>
        <v>0.35</v>
      </c>
      <c r="P8" s="4">
        <f>Assumptions!$E$11</f>
        <v>2.2999999999999998</v>
      </c>
      <c r="Q8" s="4">
        <f>Assumptions!$E$12</f>
        <v>28</v>
      </c>
      <c r="R8" s="4">
        <f>Assumptions!$E$17</f>
        <v>0.21</v>
      </c>
      <c r="S8" s="4">
        <f>Assumptions!$E$6</f>
        <v>265</v>
      </c>
      <c r="T8" s="82">
        <f>(E8*J8*$O$8*$P$8*$Q$8)/1000</f>
        <v>0.32696343679999995</v>
      </c>
      <c r="U8" s="82">
        <f>(F8*K8*$O$8*$P$8*$Q$8)/1000</f>
        <v>0.33207224049999995</v>
      </c>
      <c r="V8" s="82">
        <f>(G8*L8*$O$8*$P$8*$Q$8)/1000</f>
        <v>0.34425477239999991</v>
      </c>
      <c r="W8" s="82">
        <f>(H8*M8*$O$8*$P$8*$Q$8)/1000</f>
        <v>0.34494517259999996</v>
      </c>
      <c r="X8" s="82">
        <f>(I8*N8*$O$8*$P$8*$Q$8)/1000</f>
        <v>0.3616420157000001</v>
      </c>
      <c r="Y8" s="82">
        <f>(E8*J8*$O$8*$R$8*$S$8)/1000</f>
        <v>0.28253905679999997</v>
      </c>
      <c r="Z8" s="82">
        <f t="shared" ref="Z8:AC8" si="0">F8*K8*$O$8*$R$8*$S$8/1000</f>
        <v>0.28695372956249998</v>
      </c>
      <c r="AA8" s="82">
        <f t="shared" si="0"/>
        <v>0.29748102614999999</v>
      </c>
      <c r="AB8" s="82">
        <f t="shared" si="0"/>
        <v>0.29807762197499998</v>
      </c>
      <c r="AC8" s="82">
        <f t="shared" si="0"/>
        <v>0.31250587226250015</v>
      </c>
      <c r="AD8" s="82">
        <f>T8+Y8</f>
        <v>0.60950249359999997</v>
      </c>
      <c r="AE8" s="82">
        <f>U8+Z8</f>
        <v>0.61902597006249993</v>
      </c>
      <c r="AF8" s="82">
        <f>V8+AA8</f>
        <v>0.64173579854999985</v>
      </c>
      <c r="AG8" s="82">
        <f>W8+AB8</f>
        <v>0.643022794575</v>
      </c>
      <c r="AH8" s="82">
        <f>X8+AC8</f>
        <v>0.67414788796250025</v>
      </c>
    </row>
    <row r="9" spans="1:34" x14ac:dyDescent="0.15">
      <c r="A9" s="5" t="s">
        <v>10</v>
      </c>
      <c r="B9" s="4"/>
      <c r="C9" s="4" t="s">
        <v>35</v>
      </c>
      <c r="D9" s="484">
        <f>Assumptions!D62</f>
        <v>6772.8780000000015</v>
      </c>
      <c r="E9" s="4">
        <f>PDB_Burning!C16</f>
        <v>2344.7328000000002</v>
      </c>
      <c r="F9" s="4">
        <f>PDB_Burning!F16</f>
        <v>2344.7328000000002</v>
      </c>
      <c r="G9" s="4">
        <f>PDB_Burning!I16</f>
        <v>2344.7328000000002</v>
      </c>
      <c r="H9" s="4">
        <f>PDB_Burning!L16</f>
        <v>2344.7328000000002</v>
      </c>
      <c r="I9" s="4">
        <f>PDB_Burning!O16</f>
        <v>2344.7328000000002</v>
      </c>
      <c r="J9" s="101">
        <f>PDB_Burning!D16-PDB_Burning!E16</f>
        <v>0.20671428571428568</v>
      </c>
      <c r="K9" s="101">
        <f>PDB_Burning!G16-PDB_Burning!H16</f>
        <v>0.21471428571428575</v>
      </c>
      <c r="L9" s="101">
        <f>PDB_Burning!J16-PDB_Burning!K16</f>
        <v>0.21042857142857138</v>
      </c>
      <c r="M9" s="101">
        <f>PDB_Burning!M16-PDB_Burning!N16</f>
        <v>0.21757142857142858</v>
      </c>
      <c r="N9" s="101">
        <f>PDB_Burning!P16-PDB_Burning!Q16</f>
        <v>0.22228571428571431</v>
      </c>
      <c r="O9" s="4">
        <f>Assumptions!$E$10</f>
        <v>0.35</v>
      </c>
      <c r="P9" s="4">
        <f>Assumptions!$E$11</f>
        <v>2.2999999999999998</v>
      </c>
      <c r="Q9" s="4">
        <f>Assumptions!$E$12</f>
        <v>28</v>
      </c>
      <c r="R9" s="4">
        <f>Assumptions!$E$17</f>
        <v>0.21</v>
      </c>
      <c r="S9" s="4">
        <f>Assumptions!$E$6</f>
        <v>265</v>
      </c>
      <c r="T9" s="82">
        <f t="shared" ref="T9:T29" si="1">(E9*J9*$O$8*$P$8*$Q$8)/1000</f>
        <v>10.924907324351995</v>
      </c>
      <c r="U9" s="82">
        <f>(F9*K9*$O$9*$P$9*$Q$9)/1000</f>
        <v>11.347709542848003</v>
      </c>
      <c r="V9" s="82">
        <f t="shared" ref="V9:V29" si="2">(G9*L9*$O$8*$P$8*$Q$8)/1000</f>
        <v>11.121208354367997</v>
      </c>
      <c r="W9" s="82">
        <f t="shared" ref="W9:W29" si="3">(H9*M9*$O$8*$P$8*$Q$8)/1000</f>
        <v>11.498710335168001</v>
      </c>
      <c r="X9" s="82">
        <f t="shared" ref="X9:X29" si="4">(I9*N9*$O$8*$P$8*$Q$8)/1000</f>
        <v>11.747861642496</v>
      </c>
      <c r="Y9" s="82">
        <f>E9*J9*$O$9*$R$9*$S$9/1000</f>
        <v>9.4405449161519979</v>
      </c>
      <c r="Z9" s="82">
        <f t="shared" ref="Z9:AC9" si="5">F9*K9*$O$9*$R$9*$S$9/1000</f>
        <v>9.8059011810480037</v>
      </c>
      <c r="AA9" s="82">
        <f t="shared" si="5"/>
        <v>9.6101746105679968</v>
      </c>
      <c r="AB9" s="82">
        <f t="shared" si="5"/>
        <v>9.9363855613680006</v>
      </c>
      <c r="AC9" s="82">
        <f t="shared" si="5"/>
        <v>10.151684788896</v>
      </c>
      <c r="AD9" s="82">
        <f>T9+Y9</f>
        <v>20.365452240503991</v>
      </c>
      <c r="AE9" s="82">
        <f t="shared" ref="AE9:AE29" si="6">U9+Z9</f>
        <v>21.153610723896008</v>
      </c>
      <c r="AF9" s="82">
        <f t="shared" ref="AF9:AF29" si="7">V9+AA9</f>
        <v>20.731382964935996</v>
      </c>
      <c r="AG9" s="82">
        <f t="shared" ref="AG9:AG29" si="8">W9+AB9</f>
        <v>21.435095896536001</v>
      </c>
      <c r="AH9" s="82">
        <f t="shared" ref="AH9:AH29" si="9">X9+AC9</f>
        <v>21.899546431392</v>
      </c>
    </row>
    <row r="10" spans="1:34" x14ac:dyDescent="0.15">
      <c r="A10" s="5" t="s">
        <v>11</v>
      </c>
      <c r="B10" s="4"/>
      <c r="C10" s="4" t="s">
        <v>35</v>
      </c>
      <c r="D10" s="484">
        <f>Assumptions!D63</f>
        <v>4319.8270000000002</v>
      </c>
      <c r="E10" s="4">
        <f>PDB_Burning!C22</f>
        <v>1583.2249999999999</v>
      </c>
      <c r="F10" s="4">
        <f>PDB_Burning!F22</f>
        <v>1583.2249999999999</v>
      </c>
      <c r="G10" s="4">
        <f>PDB_Burning!I22</f>
        <v>1583.2249999999999</v>
      </c>
      <c r="H10" s="4">
        <f>PDB_Burning!L22</f>
        <v>1583.2249999999999</v>
      </c>
      <c r="I10" s="4">
        <f>PDB_Burning!O22</f>
        <v>1583.2249999999999</v>
      </c>
      <c r="J10" s="101">
        <f>PDB_Burning!D22-PDB_Burning!E22</f>
        <v>0.20559999999999995</v>
      </c>
      <c r="K10" s="101">
        <f>PDB_Burning!G22-PDB_Burning!H22</f>
        <v>0.2082</v>
      </c>
      <c r="L10" s="101">
        <f>PDB_Burning!J22-PDB_Burning!K22</f>
        <v>0.20400000000000001</v>
      </c>
      <c r="M10" s="101">
        <f>PDB_Burning!M22-PDB_Burning!N22</f>
        <v>0.22059999999999999</v>
      </c>
      <c r="N10" s="101">
        <f>PDB_Burning!P22-PDB_Burning!Q22</f>
        <v>0.22460000000000002</v>
      </c>
      <c r="O10" s="4">
        <f>Assumptions!$E$10</f>
        <v>0.35</v>
      </c>
      <c r="P10" s="4">
        <f>Assumptions!$E$11</f>
        <v>2.2999999999999998</v>
      </c>
      <c r="Q10" s="4">
        <f>Assumptions!$E$12</f>
        <v>28</v>
      </c>
      <c r="R10" s="4">
        <f>Assumptions!$E$17</f>
        <v>0.21</v>
      </c>
      <c r="S10" s="4">
        <f>Assumptions!$E$6</f>
        <v>265</v>
      </c>
      <c r="T10" s="82">
        <f t="shared" si="1"/>
        <v>7.3370192923999973</v>
      </c>
      <c r="U10" s="82">
        <f>(F10*K10*$O$10*$P$10*$Q$10)/1000</f>
        <v>7.4298026102999977</v>
      </c>
      <c r="V10" s="82">
        <f t="shared" si="2"/>
        <v>7.2799218659999987</v>
      </c>
      <c r="W10" s="82">
        <f t="shared" si="3"/>
        <v>7.8723076648999974</v>
      </c>
      <c r="X10" s="82">
        <f t="shared" si="4"/>
        <v>8.0150512308999993</v>
      </c>
      <c r="Y10" s="82">
        <f>E10*J10*$O$10*$R$10*$S$10/1000</f>
        <v>6.3401416711499987</v>
      </c>
      <c r="Z10" s="82">
        <f t="shared" ref="Z10:AC10" si="10">F10*K10*$O$10*$R$10*$S$10/1000</f>
        <v>6.4203185599874981</v>
      </c>
      <c r="AA10" s="82">
        <f t="shared" si="10"/>
        <v>6.2908020472499997</v>
      </c>
      <c r="AB10" s="82">
        <f t="shared" si="10"/>
        <v>6.8027006452124992</v>
      </c>
      <c r="AC10" s="82">
        <f t="shared" si="10"/>
        <v>6.9260497049624989</v>
      </c>
      <c r="AD10" s="82">
        <f t="shared" ref="AD10:AD29" si="11">T10+Y10</f>
        <v>13.677160963549996</v>
      </c>
      <c r="AE10" s="82">
        <f t="shared" si="6"/>
        <v>13.850121170287496</v>
      </c>
      <c r="AF10" s="82">
        <f t="shared" si="7"/>
        <v>13.570723913249999</v>
      </c>
      <c r="AG10" s="82">
        <f t="shared" si="8"/>
        <v>14.675008310112496</v>
      </c>
      <c r="AH10" s="82">
        <f t="shared" si="9"/>
        <v>14.941100935862497</v>
      </c>
    </row>
    <row r="11" spans="1:34" x14ac:dyDescent="0.15">
      <c r="A11" s="5" t="s">
        <v>12</v>
      </c>
      <c r="B11" s="4"/>
      <c r="C11" s="4" t="s">
        <v>34</v>
      </c>
      <c r="D11" s="484">
        <f>Assumptions!D64</f>
        <v>1612.0500000000002</v>
      </c>
      <c r="E11" s="4">
        <f>PDB_Burning!C26</f>
        <v>710.58500000000004</v>
      </c>
      <c r="F11" s="4">
        <f>PDB_Burning!F26</f>
        <v>710.58500000000004</v>
      </c>
      <c r="G11" s="4">
        <f>PDB_Burning!I26</f>
        <v>710.58500000000004</v>
      </c>
      <c r="H11" s="4">
        <f>PDB_Burning!L26</f>
        <v>710.58500000000004</v>
      </c>
      <c r="I11" s="4">
        <f>PDB_Burning!O26</f>
        <v>710.58500000000004</v>
      </c>
      <c r="J11" s="101">
        <f>PDB_Burning!D26-PDB_Burning!E26</f>
        <v>0.20166666666666663</v>
      </c>
      <c r="K11" s="101">
        <f>PDB_Burning!G26-PDB_Burning!H26</f>
        <v>0.20933333333333329</v>
      </c>
      <c r="L11" s="101">
        <f>PDB_Burning!J26-PDB_Burning!K26</f>
        <v>0.20533333333333337</v>
      </c>
      <c r="M11" s="101">
        <f>PDB_Burning!M26-PDB_Burning!N26</f>
        <v>0.22400000000000003</v>
      </c>
      <c r="N11" s="101">
        <f>PDB_Burning!P26-PDB_Burning!Q26</f>
        <v>0.22700000000000009</v>
      </c>
      <c r="O11" s="4">
        <f>Assumptions!$E$10</f>
        <v>0.35</v>
      </c>
      <c r="P11" s="4">
        <f>Assumptions!$E$11</f>
        <v>2.2999999999999998</v>
      </c>
      <c r="Q11" s="4">
        <f>Assumptions!$E$12</f>
        <v>28</v>
      </c>
      <c r="R11" s="4">
        <f>Assumptions!$E$17</f>
        <v>0.21</v>
      </c>
      <c r="S11" s="4">
        <f>Assumptions!$E$6</f>
        <v>265</v>
      </c>
      <c r="T11" s="82">
        <f t="shared" si="1"/>
        <v>3.2300114898333323</v>
      </c>
      <c r="U11" s="82">
        <f>(F11*K11*$O$11*$P$11*$Q$11)/1000</f>
        <v>3.3528053150666661</v>
      </c>
      <c r="V11" s="82">
        <f t="shared" si="2"/>
        <v>3.288738971466667</v>
      </c>
      <c r="W11" s="82">
        <f t="shared" si="3"/>
        <v>3.5877152416000007</v>
      </c>
      <c r="X11" s="82">
        <f t="shared" si="4"/>
        <v>3.635764999300001</v>
      </c>
      <c r="Y11" s="82">
        <f>E11*J11*$O$11*$R$11*$S$11/1000</f>
        <v>2.7911512330624992</v>
      </c>
      <c r="Z11" s="82">
        <f t="shared" ref="Z11:AC11" si="12">F11*K11*$O$11*$R$11*$S$11/1000</f>
        <v>2.8972611146499996</v>
      </c>
      <c r="AA11" s="82">
        <f t="shared" si="12"/>
        <v>2.8418994373000004</v>
      </c>
      <c r="AB11" s="82">
        <f t="shared" si="12"/>
        <v>3.1002539316000002</v>
      </c>
      <c r="AC11" s="82">
        <f t="shared" si="12"/>
        <v>3.1417751896125004</v>
      </c>
      <c r="AD11" s="82">
        <f t="shared" si="11"/>
        <v>6.0211627228958315</v>
      </c>
      <c r="AE11" s="82">
        <f t="shared" si="6"/>
        <v>6.2500664297166661</v>
      </c>
      <c r="AF11" s="82">
        <f t="shared" si="7"/>
        <v>6.1306384087666679</v>
      </c>
      <c r="AG11" s="82">
        <f t="shared" si="8"/>
        <v>6.6879691732000008</v>
      </c>
      <c r="AH11" s="82">
        <f t="shared" si="9"/>
        <v>6.7775401889125018</v>
      </c>
    </row>
    <row r="12" spans="1:34" x14ac:dyDescent="0.15">
      <c r="A12" s="5" t="s">
        <v>13</v>
      </c>
      <c r="B12" s="4"/>
      <c r="C12" s="4" t="s">
        <v>34</v>
      </c>
      <c r="D12" s="484">
        <f>Assumptions!D65</f>
        <v>353.58800000000002</v>
      </c>
      <c r="E12" s="4">
        <f>PDB_Burning!C30</f>
        <v>184.09</v>
      </c>
      <c r="F12" s="4">
        <f>PDB_Burning!F30</f>
        <v>184.09</v>
      </c>
      <c r="G12" s="4">
        <f>PDB_Burning!I30</f>
        <v>184.09</v>
      </c>
      <c r="H12" s="4">
        <f>PDB_Burning!L30</f>
        <v>184.09</v>
      </c>
      <c r="I12" s="4">
        <f>PDB_Burning!O30</f>
        <v>184.09</v>
      </c>
      <c r="J12" s="101">
        <f>PDB_Burning!D30-PDB_Burning!E30</f>
        <v>0.19733333333333333</v>
      </c>
      <c r="K12" s="101">
        <f>PDB_Burning!G30-PDB_Burning!H30</f>
        <v>0.20899999999999999</v>
      </c>
      <c r="L12" s="101">
        <f>PDB_Burning!J30-PDB_Burning!K30</f>
        <v>0.189</v>
      </c>
      <c r="M12" s="101">
        <f>PDB_Burning!M30-PDB_Burning!N30</f>
        <v>0.22300000000000003</v>
      </c>
      <c r="N12" s="101">
        <f>PDB_Burning!P30-PDB_Burning!Q30</f>
        <v>0.21800000000000003</v>
      </c>
      <c r="O12" s="4">
        <f>Assumptions!$E$10</f>
        <v>0.35</v>
      </c>
      <c r="P12" s="4">
        <f>Assumptions!$E$11</f>
        <v>2.2999999999999998</v>
      </c>
      <c r="Q12" s="4">
        <f>Assumptions!$E$12</f>
        <v>28</v>
      </c>
      <c r="R12" s="4">
        <f>Assumptions!$E$17</f>
        <v>0.21</v>
      </c>
      <c r="S12" s="4">
        <f>Assumptions!$E$6</f>
        <v>265</v>
      </c>
      <c r="T12" s="82">
        <f t="shared" si="1"/>
        <v>0.81881268373333327</v>
      </c>
      <c r="U12" s="82">
        <f>(F12*K12*$O$12*$P$12*$Q$12)/1000</f>
        <v>0.86722221739999972</v>
      </c>
      <c r="V12" s="82">
        <f t="shared" si="2"/>
        <v>0.78423444539999998</v>
      </c>
      <c r="W12" s="82">
        <f t="shared" si="3"/>
        <v>0.92531365780000008</v>
      </c>
      <c r="X12" s="82">
        <f t="shared" si="4"/>
        <v>0.90456671479999995</v>
      </c>
      <c r="Y12" s="82">
        <f>E12*J12*$O$12*$R$12*$S$12/1000</f>
        <v>0.70756096040000005</v>
      </c>
      <c r="Z12" s="82">
        <f t="shared" ref="Z12:AC12" si="13">F12*K12*$O$12*$R$12*$S$12/1000</f>
        <v>0.74939311177500001</v>
      </c>
      <c r="AA12" s="82">
        <f t="shared" si="13"/>
        <v>0.67768085227499997</v>
      </c>
      <c r="AB12" s="82">
        <f t="shared" si="13"/>
        <v>0.79959169342500014</v>
      </c>
      <c r="AC12" s="82">
        <f t="shared" si="13"/>
        <v>0.78166362855000004</v>
      </c>
      <c r="AD12" s="82">
        <f t="shared" si="11"/>
        <v>1.5263736441333333</v>
      </c>
      <c r="AE12" s="82">
        <f t="shared" si="6"/>
        <v>1.6166153291749996</v>
      </c>
      <c r="AF12" s="82">
        <f t="shared" si="7"/>
        <v>1.4619152976750001</v>
      </c>
      <c r="AG12" s="82">
        <f t="shared" si="8"/>
        <v>1.7249053512250003</v>
      </c>
      <c r="AH12" s="82">
        <f t="shared" si="9"/>
        <v>1.6862303433500001</v>
      </c>
    </row>
    <row r="13" spans="1:34" x14ac:dyDescent="0.15">
      <c r="A13" s="5" t="s">
        <v>14</v>
      </c>
      <c r="B13" s="4"/>
      <c r="C13" s="4" t="s">
        <v>35</v>
      </c>
      <c r="D13" s="484">
        <f>Assumptions!D66</f>
        <v>4915.7929999999997</v>
      </c>
      <c r="E13" s="4">
        <f>PDB_Burning!C36</f>
        <v>1746.5800000000002</v>
      </c>
      <c r="F13" s="4">
        <f>PDB_Burning!F36</f>
        <v>1746.5800000000002</v>
      </c>
      <c r="G13" s="4">
        <f>PDB_Burning!I36</f>
        <v>1746.5800000000002</v>
      </c>
      <c r="H13" s="4">
        <f>PDB_Burning!L36</f>
        <v>1746.5800000000002</v>
      </c>
      <c r="I13" s="4">
        <f>PDB_Burning!O36</f>
        <v>1746.5800000000002</v>
      </c>
      <c r="J13" s="101">
        <f>PDB_Burning!D36-PDB_Burning!E36</f>
        <v>0.21539999999999995</v>
      </c>
      <c r="K13" s="101">
        <f>PDB_Burning!G36-PDB_Burning!H36</f>
        <v>0.21200000000000002</v>
      </c>
      <c r="L13" s="101">
        <f>PDB_Burning!J36-PDB_Burning!K36</f>
        <v>0.2748000000000001</v>
      </c>
      <c r="M13" s="101">
        <f>PDB_Burning!M36-PDB_Burning!N36</f>
        <v>0.3034</v>
      </c>
      <c r="N13" s="101">
        <f>PDB_Burning!P36-PDB_Burning!Q36</f>
        <v>0.32780000000000004</v>
      </c>
      <c r="O13" s="4">
        <f>Assumptions!$E$10</f>
        <v>0.35</v>
      </c>
      <c r="P13" s="4">
        <f>Assumptions!$E$11</f>
        <v>2.2999999999999998</v>
      </c>
      <c r="Q13" s="4">
        <f>Assumptions!$E$12</f>
        <v>28</v>
      </c>
      <c r="R13" s="4">
        <f>Assumptions!$E$17</f>
        <v>0.21</v>
      </c>
      <c r="S13" s="4">
        <f>Assumptions!$E$6</f>
        <v>265</v>
      </c>
      <c r="T13" s="82">
        <f t="shared" si="1"/>
        <v>8.479848503279996</v>
      </c>
      <c r="U13" s="82">
        <f>(F13*K13*$O$13*$P$13*$Q$13)/1000</f>
        <v>8.3459975984000003</v>
      </c>
      <c r="V13" s="82">
        <f t="shared" si="2"/>
        <v>10.818302547360004</v>
      </c>
      <c r="W13" s="82">
        <f t="shared" si="3"/>
        <v>11.944224864879997</v>
      </c>
      <c r="X13" s="82">
        <f t="shared" si="4"/>
        <v>12.904801946960001</v>
      </c>
      <c r="Y13" s="82">
        <f>E13*J13*$O$13*$R$13*$S$13/1000</f>
        <v>7.3276951740299969</v>
      </c>
      <c r="Z13" s="82">
        <f t="shared" ref="Z13:AC13" si="14">F13*K13*$O$13*$R$13*$S$13/1000</f>
        <v>7.212030533400001</v>
      </c>
      <c r="AA13" s="82">
        <f t="shared" si="14"/>
        <v>9.3484244838600024</v>
      </c>
      <c r="AB13" s="82">
        <f t="shared" si="14"/>
        <v>10.321368225629998</v>
      </c>
      <c r="AC13" s="82">
        <f t="shared" si="14"/>
        <v>11.151432117210001</v>
      </c>
      <c r="AD13" s="82">
        <f t="shared" si="11"/>
        <v>15.807543677309994</v>
      </c>
      <c r="AE13" s="82">
        <f t="shared" si="6"/>
        <v>15.5580281318</v>
      </c>
      <c r="AF13" s="82">
        <f t="shared" si="7"/>
        <v>20.166727031220006</v>
      </c>
      <c r="AG13" s="82">
        <f t="shared" si="8"/>
        <v>22.265593090509995</v>
      </c>
      <c r="AH13" s="82">
        <f t="shared" si="9"/>
        <v>24.056234064170003</v>
      </c>
    </row>
    <row r="14" spans="1:34" x14ac:dyDescent="0.15">
      <c r="A14" s="5" t="s">
        <v>15</v>
      </c>
      <c r="B14" s="4"/>
      <c r="C14" s="4" t="s">
        <v>34</v>
      </c>
      <c r="D14" s="484">
        <f>Assumptions!D67</f>
        <v>2549.9479999999994</v>
      </c>
      <c r="E14" s="4">
        <f>PDB_Burning!C42</f>
        <v>350</v>
      </c>
      <c r="F14" s="4">
        <f>PDB_Burning!F42</f>
        <v>1200</v>
      </c>
      <c r="G14" s="4">
        <f>PDB_Burning!I42</f>
        <v>620</v>
      </c>
      <c r="H14" s="4">
        <f>PDB_Burning!L42</f>
        <v>350</v>
      </c>
      <c r="I14" s="4">
        <f>PDB_Burning!O42</f>
        <v>620</v>
      </c>
      <c r="J14" s="101">
        <f>PDB_Burning!D42-PDB_Burning!E42</f>
        <v>0.20940000000000003</v>
      </c>
      <c r="K14" s="101">
        <f>PDB_Burning!G42-PDB_Burning!H42</f>
        <v>0.21080000000000004</v>
      </c>
      <c r="L14" s="101">
        <f>PDB_Burning!J42-PDB_Burning!K42</f>
        <v>0.21899999999999997</v>
      </c>
      <c r="M14" s="101">
        <f>PDB_Burning!M42-PDB_Burning!N42</f>
        <v>0.21839999999999998</v>
      </c>
      <c r="N14" s="101">
        <f>PDB_Burning!P42-PDB_Burning!Q42</f>
        <v>0.21840000000000001</v>
      </c>
      <c r="O14" s="4">
        <f>Assumptions!$E$10</f>
        <v>0.35</v>
      </c>
      <c r="P14" s="4">
        <f>Assumptions!$E$11</f>
        <v>2.2999999999999998</v>
      </c>
      <c r="Q14" s="4">
        <f>Assumptions!$E$12</f>
        <v>28</v>
      </c>
      <c r="R14" s="4">
        <f>Assumptions!$E$17</f>
        <v>0.21</v>
      </c>
      <c r="S14" s="4">
        <f>Assumptions!$E$6</f>
        <v>265</v>
      </c>
      <c r="T14" s="82">
        <f t="shared" si="1"/>
        <v>1.6519565999999999</v>
      </c>
      <c r="U14" s="82">
        <f>(F14*K14*$O$14*$P$14*$Q$14)/1000</f>
        <v>5.7017184000000007</v>
      </c>
      <c r="V14" s="82">
        <f t="shared" si="2"/>
        <v>3.0604811999999995</v>
      </c>
      <c r="W14" s="82">
        <f t="shared" si="3"/>
        <v>1.7229575999999998</v>
      </c>
      <c r="X14" s="82">
        <f t="shared" si="4"/>
        <v>3.05209632</v>
      </c>
      <c r="Y14" s="82">
        <f>E14*J14*$O$14*$R$14*$S$14/1000</f>
        <v>1.4275059750000001</v>
      </c>
      <c r="Z14" s="82">
        <f t="shared" ref="Z14:AC14" si="15">F14*K14*$O$14*$R$14*$S$14/1000</f>
        <v>4.9270284000000011</v>
      </c>
      <c r="AA14" s="82">
        <f t="shared" si="15"/>
        <v>2.6446549499999996</v>
      </c>
      <c r="AB14" s="82">
        <f t="shared" si="15"/>
        <v>1.4888600999999997</v>
      </c>
      <c r="AC14" s="82">
        <f t="shared" si="15"/>
        <v>2.6374093200000002</v>
      </c>
      <c r="AD14" s="82">
        <f t="shared" si="11"/>
        <v>3.079462575</v>
      </c>
      <c r="AE14" s="82">
        <f t="shared" si="6"/>
        <v>10.628746800000002</v>
      </c>
      <c r="AF14" s="82">
        <f t="shared" si="7"/>
        <v>5.7051361499999995</v>
      </c>
      <c r="AG14" s="82">
        <f t="shared" si="8"/>
        <v>3.2118176999999992</v>
      </c>
      <c r="AH14" s="82">
        <f t="shared" si="9"/>
        <v>5.6895056400000001</v>
      </c>
    </row>
    <row r="15" spans="1:34" x14ac:dyDescent="0.15">
      <c r="A15" s="5" t="s">
        <v>16</v>
      </c>
      <c r="B15" s="4"/>
      <c r="C15" s="4" t="s">
        <v>36</v>
      </c>
      <c r="D15" s="484">
        <f>Assumptions!D68</f>
        <v>741.26900000000001</v>
      </c>
      <c r="E15" s="4">
        <f>PDB_Burning!C46</f>
        <v>231.14</v>
      </c>
      <c r="F15" s="4">
        <f>PDB_Burning!F46</f>
        <v>231.14</v>
      </c>
      <c r="G15" s="4">
        <f>PDB_Burning!I46</f>
        <v>231.14</v>
      </c>
      <c r="H15" s="4">
        <f>PDB_Burning!L46</f>
        <v>231.14</v>
      </c>
      <c r="I15" s="4">
        <f>PDB_Burning!O46</f>
        <v>231.14</v>
      </c>
      <c r="J15" s="101">
        <f>PDB_Burning!D46-PDB_Burning!E46</f>
        <v>0.21133333333333329</v>
      </c>
      <c r="K15" s="101">
        <f>PDB_Burning!G46-PDB_Burning!H46</f>
        <v>0.21566666666666662</v>
      </c>
      <c r="L15" s="101">
        <f>PDB_Burning!J46-PDB_Burning!K46</f>
        <v>0.21099999999999997</v>
      </c>
      <c r="M15" s="101">
        <f>PDB_Burning!M46-PDB_Burning!N46</f>
        <v>0.21666666666666667</v>
      </c>
      <c r="N15" s="101">
        <f>PDB_Burning!P46-PDB_Burning!Q46</f>
        <v>0.21466666666666667</v>
      </c>
      <c r="O15" s="4">
        <f>Assumptions!$E$10</f>
        <v>0.35</v>
      </c>
      <c r="P15" s="4">
        <f>Assumptions!$E$11</f>
        <v>2.2999999999999998</v>
      </c>
      <c r="Q15" s="4">
        <f>Assumptions!$E$12</f>
        <v>28</v>
      </c>
      <c r="R15" s="4">
        <f>Assumptions!$E$17</f>
        <v>0.21</v>
      </c>
      <c r="S15" s="4">
        <f>Assumptions!$E$6</f>
        <v>265</v>
      </c>
      <c r="T15" s="82">
        <f t="shared" si="1"/>
        <v>1.1010246034666662</v>
      </c>
      <c r="U15" s="82">
        <f>(F15*K15*$O$15*$P$15*$Q$15)/1000</f>
        <v>1.1236008177333328</v>
      </c>
      <c r="V15" s="82">
        <f t="shared" si="2"/>
        <v>1.0992879715999997</v>
      </c>
      <c r="W15" s="82">
        <f t="shared" si="3"/>
        <v>1.1288107133333334</v>
      </c>
      <c r="X15" s="82">
        <f t="shared" si="4"/>
        <v>1.118390922133333</v>
      </c>
      <c r="Y15" s="82">
        <f>E15*J15*$O$15*$R$15*$S$15/1000</f>
        <v>0.95142886929999959</v>
      </c>
      <c r="Z15" s="82">
        <f t="shared" ref="Z15:AC15" si="16">F15*K15*$O$15*$R$15*$S$15/1000</f>
        <v>0.97093766314999963</v>
      </c>
      <c r="AA15" s="82">
        <f t="shared" si="16"/>
        <v>0.94992819284999985</v>
      </c>
      <c r="AB15" s="82">
        <f t="shared" si="16"/>
        <v>0.97543969249999984</v>
      </c>
      <c r="AC15" s="82">
        <f t="shared" si="16"/>
        <v>0.96643563379999986</v>
      </c>
      <c r="AD15" s="82">
        <f t="shared" si="11"/>
        <v>2.0524534727666657</v>
      </c>
      <c r="AE15" s="82">
        <f t="shared" si="6"/>
        <v>2.0945384808833323</v>
      </c>
      <c r="AF15" s="82">
        <f t="shared" si="7"/>
        <v>2.0492161644499998</v>
      </c>
      <c r="AG15" s="82">
        <f t="shared" si="8"/>
        <v>2.1042504058333331</v>
      </c>
      <c r="AH15" s="82">
        <f t="shared" si="9"/>
        <v>2.0848265559333328</v>
      </c>
    </row>
    <row r="16" spans="1:34" x14ac:dyDescent="0.15">
      <c r="A16" s="5" t="s">
        <v>17</v>
      </c>
      <c r="B16" s="4"/>
      <c r="C16" s="4" t="s">
        <v>35</v>
      </c>
      <c r="D16" s="484">
        <f>Assumptions!D69</f>
        <v>8643.7000000000025</v>
      </c>
      <c r="E16" s="4">
        <f>PDB_Burning!C55</f>
        <v>3291.0499999999997</v>
      </c>
      <c r="F16" s="4">
        <f>PDB_Burning!F55</f>
        <v>3291.0499999999997</v>
      </c>
      <c r="G16" s="4">
        <f>PDB_Burning!I55</f>
        <v>3291.0499999999997</v>
      </c>
      <c r="H16" s="4">
        <f>PDB_Burning!L55</f>
        <v>3291.0499999999997</v>
      </c>
      <c r="I16" s="4">
        <f>PDB_Burning!O55</f>
        <v>3291.0499999999997</v>
      </c>
      <c r="J16" s="101">
        <f>PDB_Burning!D55-PDB_Burning!E55</f>
        <v>0.21350000000000002</v>
      </c>
      <c r="K16" s="101">
        <f>PDB_Burning!G55-PDB_Burning!H55</f>
        <v>0.21237500000000004</v>
      </c>
      <c r="L16" s="101">
        <f>PDB_Burning!J55-PDB_Burning!K55</f>
        <v>0.24087500000000001</v>
      </c>
      <c r="M16" s="101">
        <f>PDB_Burning!M55-PDB_Burning!N55</f>
        <v>0.25600000000000001</v>
      </c>
      <c r="N16" s="101">
        <f>PDB_Burning!P55-PDB_Burning!Q55</f>
        <v>0.26487499999999997</v>
      </c>
      <c r="O16" s="4">
        <f>Assumptions!$E$10</f>
        <v>0.35</v>
      </c>
      <c r="P16" s="4">
        <f>Assumptions!$E$11</f>
        <v>2.2999999999999998</v>
      </c>
      <c r="Q16" s="4">
        <f>Assumptions!$E$12</f>
        <v>28</v>
      </c>
      <c r="R16" s="4">
        <f>Assumptions!$E$17</f>
        <v>0.21</v>
      </c>
      <c r="S16" s="4">
        <f>Assumptions!$E$6</f>
        <v>265</v>
      </c>
      <c r="T16" s="82">
        <f t="shared" si="1"/>
        <v>15.837487004499998</v>
      </c>
      <c r="U16" s="82">
        <f>(F16*K16*$O$16*$P$16*$Q$16)/1000</f>
        <v>15.754034204124999</v>
      </c>
      <c r="V16" s="82">
        <f t="shared" si="2"/>
        <v>17.868171813624993</v>
      </c>
      <c r="W16" s="82">
        <f t="shared" si="3"/>
        <v>18.990148351999995</v>
      </c>
      <c r="X16" s="82">
        <f t="shared" si="4"/>
        <v>19.64849822162499</v>
      </c>
      <c r="Y16" s="82">
        <f>E16*J16*$O$16*$R$16*$S$16/1000</f>
        <v>13.685654531062498</v>
      </c>
      <c r="Z16" s="82">
        <f t="shared" ref="Z16:AC16" si="17">F16*K16*$O$16*$R$16*$S$16/1000</f>
        <v>13.613540426390625</v>
      </c>
      <c r="AA16" s="82">
        <f t="shared" si="17"/>
        <v>15.440431078078122</v>
      </c>
      <c r="AB16" s="82">
        <f t="shared" si="17"/>
        <v>16.409965151999998</v>
      </c>
      <c r="AC16" s="82">
        <f t="shared" si="17"/>
        <v>16.97886531107812</v>
      </c>
      <c r="AD16" s="82">
        <f t="shared" si="11"/>
        <v>29.523141535562495</v>
      </c>
      <c r="AE16" s="82">
        <f t="shared" si="6"/>
        <v>29.367574630515623</v>
      </c>
      <c r="AF16" s="82">
        <f t="shared" si="7"/>
        <v>33.308602891703117</v>
      </c>
      <c r="AG16" s="82">
        <f t="shared" si="8"/>
        <v>35.400113503999989</v>
      </c>
      <c r="AH16" s="82">
        <f t="shared" si="9"/>
        <v>36.627363532703114</v>
      </c>
    </row>
    <row r="17" spans="1:34" x14ac:dyDescent="0.15">
      <c r="A17" s="5" t="s">
        <v>18</v>
      </c>
      <c r="B17" s="4"/>
      <c r="C17" s="4" t="s">
        <v>35</v>
      </c>
      <c r="D17" s="484">
        <f>Assumptions!D70</f>
        <v>2860.4270000000001</v>
      </c>
      <c r="E17" s="4">
        <f>PDB_Burning!C60</f>
        <v>739.25</v>
      </c>
      <c r="F17" s="4">
        <f>PDB_Burning!F60</f>
        <v>739.25</v>
      </c>
      <c r="G17" s="4">
        <f>PDB_Burning!I60</f>
        <v>739.25</v>
      </c>
      <c r="H17" s="4">
        <f>PDB_Burning!L60</f>
        <v>739.25</v>
      </c>
      <c r="I17" s="4">
        <f>PDB_Burning!O60</f>
        <v>739.25</v>
      </c>
      <c r="J17" s="101">
        <f>PDB_Burning!D60-PDB_Burning!E60</f>
        <v>0.21249999999999999</v>
      </c>
      <c r="K17" s="101">
        <f>PDB_Burning!G60-PDB_Burning!H60</f>
        <v>0.21175000000000002</v>
      </c>
      <c r="L17" s="101">
        <f>PDB_Burning!J60-PDB_Burning!K60</f>
        <v>0.24175000000000002</v>
      </c>
      <c r="M17" s="101">
        <f>PDB_Burning!M60-PDB_Burning!N60</f>
        <v>0.26049999999999995</v>
      </c>
      <c r="N17" s="101">
        <f>PDB_Burning!P60-PDB_Burning!Q60</f>
        <v>0.26124999999999998</v>
      </c>
      <c r="O17" s="4">
        <f>Assumptions!$E$10</f>
        <v>0.35</v>
      </c>
      <c r="P17" s="4">
        <f>Assumptions!$E$11</f>
        <v>2.2999999999999998</v>
      </c>
      <c r="Q17" s="4">
        <f>Assumptions!$E$12</f>
        <v>28</v>
      </c>
      <c r="R17" s="4">
        <f>Assumptions!$E$17</f>
        <v>0.21</v>
      </c>
      <c r="S17" s="4">
        <f>Assumptions!$E$6</f>
        <v>265</v>
      </c>
      <c r="T17" s="82">
        <f t="shared" si="1"/>
        <v>3.5408226874999991</v>
      </c>
      <c r="U17" s="82">
        <f>(F17*K17*$O$17*$P$17*$Q$17)/1000</f>
        <v>3.5283256662499998</v>
      </c>
      <c r="V17" s="82">
        <f t="shared" si="2"/>
        <v>4.0282065162499991</v>
      </c>
      <c r="W17" s="82">
        <f t="shared" si="3"/>
        <v>4.340632047499998</v>
      </c>
      <c r="X17" s="82">
        <f t="shared" si="4"/>
        <v>4.3531290687499986</v>
      </c>
      <c r="Y17" s="82">
        <f>E17*J17*$O$17*$R$17*$S$17/1000</f>
        <v>3.0597326484374996</v>
      </c>
      <c r="Z17" s="82">
        <f t="shared" ref="Z17:AC17" si="18">F17*K17*$O$17*$R$17*$S$17/1000</f>
        <v>3.0489335920312501</v>
      </c>
      <c r="AA17" s="82">
        <f t="shared" si="18"/>
        <v>3.48089584828125</v>
      </c>
      <c r="AB17" s="82">
        <f t="shared" si="18"/>
        <v>3.7508722584374987</v>
      </c>
      <c r="AC17" s="82">
        <f t="shared" si="18"/>
        <v>3.7616713148437495</v>
      </c>
      <c r="AD17" s="82">
        <f t="shared" si="11"/>
        <v>6.6005553359374982</v>
      </c>
      <c r="AE17" s="82">
        <f t="shared" si="6"/>
        <v>6.5772592582812504</v>
      </c>
      <c r="AF17" s="82">
        <f t="shared" si="7"/>
        <v>7.5091023645312491</v>
      </c>
      <c r="AG17" s="82">
        <f t="shared" si="8"/>
        <v>8.0915043059374963</v>
      </c>
      <c r="AH17" s="82">
        <f t="shared" si="9"/>
        <v>8.1148003835937477</v>
      </c>
    </row>
    <row r="18" spans="1:34" x14ac:dyDescent="0.15">
      <c r="A18" s="5" t="s">
        <v>19</v>
      </c>
      <c r="B18" s="4"/>
      <c r="C18" s="4" t="s">
        <v>35</v>
      </c>
      <c r="D18" s="484">
        <f>Assumptions!D71</f>
        <v>9034.3230000000021</v>
      </c>
      <c r="E18" s="4">
        <f>PDB_Burning!C73</f>
        <v>3700</v>
      </c>
      <c r="F18" s="4">
        <f>PDB_Burning!F73</f>
        <v>3700</v>
      </c>
      <c r="G18" s="4">
        <f>PDB_Burning!I73</f>
        <v>3700</v>
      </c>
      <c r="H18" s="4">
        <f>PDB_Burning!L73</f>
        <v>3700</v>
      </c>
      <c r="I18" s="4">
        <f>PDB_Burning!O73</f>
        <v>3700</v>
      </c>
      <c r="J18" s="101">
        <f>PDB_Burning!D73-PDB_Burning!E73</f>
        <v>0.21050000000000002</v>
      </c>
      <c r="K18" s="101">
        <f>PDB_Burning!G73-PDB_Burning!H73</f>
        <v>0.21558333333333335</v>
      </c>
      <c r="L18" s="101">
        <f>PDB_Burning!J73-PDB_Burning!K73</f>
        <v>0.21375000000000005</v>
      </c>
      <c r="M18" s="101">
        <f>PDB_Burning!M73-PDB_Burning!N73</f>
        <v>0.21941666666666665</v>
      </c>
      <c r="N18" s="101">
        <f>PDB_Burning!P73-PDB_Burning!Q73</f>
        <v>0.22575000000000001</v>
      </c>
      <c r="O18" s="4">
        <f>Assumptions!$E$10</f>
        <v>0.35</v>
      </c>
      <c r="P18" s="4">
        <f>Assumptions!$E$11</f>
        <v>2.2999999999999998</v>
      </c>
      <c r="Q18" s="4">
        <f>Assumptions!$E$12</f>
        <v>28</v>
      </c>
      <c r="R18" s="4">
        <f>Assumptions!$E$17</f>
        <v>0.21</v>
      </c>
      <c r="S18" s="4">
        <f>Assumptions!$E$6</f>
        <v>265</v>
      </c>
      <c r="T18" s="82">
        <f t="shared" si="1"/>
        <v>17.555278999999995</v>
      </c>
      <c r="U18" s="82">
        <f>(F18*K18*$O$18*$P$18*$Q$18)/1000</f>
        <v>17.979218833333331</v>
      </c>
      <c r="V18" s="82">
        <f t="shared" si="2"/>
        <v>17.826322500000003</v>
      </c>
      <c r="W18" s="82">
        <f t="shared" si="3"/>
        <v>18.298911166666663</v>
      </c>
      <c r="X18" s="82">
        <f t="shared" si="4"/>
        <v>18.827098499999998</v>
      </c>
      <c r="Y18" s="82">
        <f>E18*J18*$O$18*$R$18*$S$18/1000</f>
        <v>15.170050874999998</v>
      </c>
      <c r="Z18" s="82">
        <f t="shared" ref="Z18:AC18" si="19">F18*K18*$O$18*$R$18*$S$18/1000</f>
        <v>15.5363901875</v>
      </c>
      <c r="AA18" s="82">
        <f t="shared" si="19"/>
        <v>15.404267812500002</v>
      </c>
      <c r="AB18" s="82">
        <f t="shared" si="19"/>
        <v>15.812646062499997</v>
      </c>
      <c r="AC18" s="82">
        <f t="shared" si="19"/>
        <v>16.269068812499999</v>
      </c>
      <c r="AD18" s="82">
        <f t="shared" si="11"/>
        <v>32.725329874999993</v>
      </c>
      <c r="AE18" s="82">
        <f t="shared" si="6"/>
        <v>33.515609020833331</v>
      </c>
      <c r="AF18" s="82">
        <f t="shared" si="7"/>
        <v>33.230590312500006</v>
      </c>
      <c r="AG18" s="82">
        <f t="shared" si="8"/>
        <v>34.111557229166664</v>
      </c>
      <c r="AH18" s="82">
        <f t="shared" si="9"/>
        <v>35.0961673125</v>
      </c>
    </row>
    <row r="19" spans="1:34" x14ac:dyDescent="0.15">
      <c r="A19" s="5" t="s">
        <v>20</v>
      </c>
      <c r="B19" s="4"/>
      <c r="C19" s="4" t="s">
        <v>37</v>
      </c>
      <c r="D19" s="484">
        <f>Assumptions!D72</f>
        <v>2315.3180000000002</v>
      </c>
      <c r="E19" s="4">
        <f>PDB_Burning!C78</f>
        <v>792</v>
      </c>
      <c r="F19" s="4">
        <f>PDB_Burning!F78</f>
        <v>792</v>
      </c>
      <c r="G19" s="4">
        <f>PDB_Burning!I78</f>
        <v>792</v>
      </c>
      <c r="H19" s="4">
        <f>PDB_Burning!L78</f>
        <v>792</v>
      </c>
      <c r="I19" s="4">
        <f>PDB_Burning!O78</f>
        <v>792</v>
      </c>
      <c r="J19" s="101">
        <f>PDB_Burning!D78-PDB_Burning!E78</f>
        <v>0.21125000000000002</v>
      </c>
      <c r="K19" s="101">
        <f>PDB_Burning!G78-PDB_Burning!H78</f>
        <v>0.21475</v>
      </c>
      <c r="L19" s="101">
        <f>PDB_Burning!J78-PDB_Burning!K78</f>
        <v>0.21299999999999999</v>
      </c>
      <c r="M19" s="101">
        <f>PDB_Burning!M78-PDB_Burning!N78</f>
        <v>0.2155</v>
      </c>
      <c r="N19" s="101">
        <f>PDB_Burning!P78-PDB_Burning!Q78</f>
        <v>0.22</v>
      </c>
      <c r="O19" s="4">
        <f>Assumptions!$E$10</f>
        <v>0.35</v>
      </c>
      <c r="P19" s="4">
        <f>Assumptions!$E$11</f>
        <v>2.2999999999999998</v>
      </c>
      <c r="Q19" s="4">
        <f>Assumptions!$E$12</f>
        <v>28</v>
      </c>
      <c r="R19" s="4">
        <f>Assumptions!$E$17</f>
        <v>0.21</v>
      </c>
      <c r="S19" s="4">
        <f>Assumptions!$E$6</f>
        <v>265</v>
      </c>
      <c r="T19" s="82">
        <f t="shared" si="1"/>
        <v>3.7711674000000004</v>
      </c>
      <c r="U19" s="82">
        <f>(F19*K19*$O$19*$P$19*$Q$19)/1000</f>
        <v>3.8336482799999994</v>
      </c>
      <c r="V19" s="82">
        <f t="shared" si="2"/>
        <v>3.8024078399999999</v>
      </c>
      <c r="W19" s="82">
        <f t="shared" si="3"/>
        <v>3.8470370399999991</v>
      </c>
      <c r="X19" s="82">
        <f t="shared" si="4"/>
        <v>3.9273695999999996</v>
      </c>
      <c r="Y19" s="82">
        <f>E19*J19*$O$19*$R$19*$S$19/1000</f>
        <v>3.2587805250000006</v>
      </c>
      <c r="Z19" s="82">
        <f t="shared" ref="Z19:AC19" si="20">F19*K19*$O$19*$R$19*$S$19/1000</f>
        <v>3.3127721549999998</v>
      </c>
      <c r="AA19" s="82">
        <f t="shared" si="20"/>
        <v>3.28577634</v>
      </c>
      <c r="AB19" s="82">
        <f t="shared" si="20"/>
        <v>3.3243417899999992</v>
      </c>
      <c r="AC19" s="82">
        <f t="shared" si="20"/>
        <v>3.3937595999999997</v>
      </c>
      <c r="AD19" s="82">
        <f t="shared" si="11"/>
        <v>7.029947925000001</v>
      </c>
      <c r="AE19" s="82">
        <f t="shared" si="6"/>
        <v>7.1464204349999996</v>
      </c>
      <c r="AF19" s="82">
        <f t="shared" si="7"/>
        <v>7.0881841799999998</v>
      </c>
      <c r="AG19" s="82">
        <f t="shared" si="8"/>
        <v>7.1713788299999983</v>
      </c>
      <c r="AH19" s="82">
        <f t="shared" si="9"/>
        <v>7.3211291999999997</v>
      </c>
    </row>
    <row r="20" spans="1:34" x14ac:dyDescent="0.15">
      <c r="A20" s="5" t="s">
        <v>21</v>
      </c>
      <c r="B20" s="4"/>
      <c r="C20" s="4" t="s">
        <v>35</v>
      </c>
      <c r="D20" s="484">
        <f>Assumptions!D73</f>
        <v>5717.201</v>
      </c>
      <c r="E20" s="4">
        <f>PDB_Burning!C85</f>
        <v>1744.74</v>
      </c>
      <c r="F20" s="4">
        <f>PDB_Burning!F85</f>
        <v>1744.74</v>
      </c>
      <c r="G20" s="4">
        <f>PDB_Burning!I85</f>
        <v>1744.74</v>
      </c>
      <c r="H20" s="4">
        <f>PDB_Burning!L85</f>
        <v>1744.74</v>
      </c>
      <c r="I20" s="4">
        <f>PDB_Burning!O85</f>
        <v>1744.74</v>
      </c>
      <c r="J20" s="101">
        <f>PDB_Burning!D85-PDB_Burning!E85</f>
        <v>0.20716666666666667</v>
      </c>
      <c r="K20" s="101">
        <f>PDB_Burning!G85-PDB_Burning!H85</f>
        <v>0.20499999999999999</v>
      </c>
      <c r="L20" s="101">
        <f>PDB_Burning!J85-PDB_Burning!K85</f>
        <v>0.23166666666666672</v>
      </c>
      <c r="M20" s="101">
        <f>PDB_Burning!M85-PDB_Burning!N85</f>
        <v>0.24916666666666668</v>
      </c>
      <c r="N20" s="101">
        <f>PDB_Burning!P85-PDB_Burning!Q85</f>
        <v>0.24766666666666665</v>
      </c>
      <c r="O20" s="4">
        <f>Assumptions!$E$10</f>
        <v>0.35</v>
      </c>
      <c r="P20" s="4">
        <f>Assumptions!$E$11</f>
        <v>2.2999999999999998</v>
      </c>
      <c r="Q20" s="4">
        <f>Assumptions!$E$12</f>
        <v>28</v>
      </c>
      <c r="R20" s="4">
        <f>Assumptions!$E$17</f>
        <v>0.21</v>
      </c>
      <c r="S20" s="4">
        <f>Assumptions!$E$6</f>
        <v>265</v>
      </c>
      <c r="T20" s="82">
        <f t="shared" si="1"/>
        <v>8.1471274038000008</v>
      </c>
      <c r="U20" s="82">
        <f>(F20*K20*$O$19*$P$19*$Q$19)/1000</f>
        <v>8.0619201179999997</v>
      </c>
      <c r="V20" s="82">
        <f t="shared" si="2"/>
        <v>9.110625173999999</v>
      </c>
      <c r="W20" s="82">
        <f t="shared" si="3"/>
        <v>9.7988378669999996</v>
      </c>
      <c r="X20" s="82">
        <f t="shared" si="4"/>
        <v>9.7398482075999979</v>
      </c>
      <c r="Y20" s="82">
        <f>E20*J20*$O$20*$R$20*$S$20/1000</f>
        <v>7.0401807456749994</v>
      </c>
      <c r="Z20" s="82">
        <f t="shared" ref="Z20:AC20" si="21">F20*K20*$O$20*$R$20*$S$20/1000</f>
        <v>6.9665505367499989</v>
      </c>
      <c r="AA20" s="82">
        <f t="shared" si="21"/>
        <v>7.8727684927499997</v>
      </c>
      <c r="AB20" s="82">
        <f t="shared" si="21"/>
        <v>8.4674740263749992</v>
      </c>
      <c r="AC20" s="82">
        <f t="shared" si="21"/>
        <v>8.416499266349998</v>
      </c>
      <c r="AD20" s="82">
        <f t="shared" si="11"/>
        <v>15.187308149475001</v>
      </c>
      <c r="AE20" s="82">
        <f t="shared" si="6"/>
        <v>15.028470654749999</v>
      </c>
      <c r="AF20" s="82">
        <f t="shared" si="7"/>
        <v>16.983393666749997</v>
      </c>
      <c r="AG20" s="82">
        <f t="shared" si="8"/>
        <v>18.266311893374997</v>
      </c>
      <c r="AH20" s="82">
        <f t="shared" si="9"/>
        <v>18.156347473949996</v>
      </c>
    </row>
    <row r="21" spans="1:34" x14ac:dyDescent="0.15">
      <c r="A21" s="5" t="s">
        <v>22</v>
      </c>
      <c r="B21" s="4"/>
      <c r="C21" s="4" t="s">
        <v>35</v>
      </c>
      <c r="D21" s="484">
        <f>Assumptions!D74</f>
        <v>3768.0449999999996</v>
      </c>
      <c r="E21" s="4">
        <f>PDB_Burning!C90</f>
        <v>1229.28</v>
      </c>
      <c r="F21" s="4">
        <f>PDB_Burning!F90</f>
        <v>1229.28</v>
      </c>
      <c r="G21" s="4">
        <f>PDB_Burning!I90</f>
        <v>1229.28</v>
      </c>
      <c r="H21" s="4">
        <f>PDB_Burning!L90</f>
        <v>1229.28</v>
      </c>
      <c r="I21" s="4">
        <f>PDB_Burning!O90</f>
        <v>1229.28</v>
      </c>
      <c r="J21" s="101">
        <f>PDB_Burning!D90-PDB_Burning!E90</f>
        <v>0.20475000000000004</v>
      </c>
      <c r="K21" s="101">
        <f>PDB_Burning!G90-PDB_Burning!H90</f>
        <v>0.20100000000000004</v>
      </c>
      <c r="L21" s="101">
        <f>PDB_Burning!J90-PDB_Burning!K90</f>
        <v>0.23524999999999996</v>
      </c>
      <c r="M21" s="101">
        <f>PDB_Burning!M90-PDB_Burning!N90</f>
        <v>0.26774999999999993</v>
      </c>
      <c r="N21" s="101">
        <f>PDB_Burning!P90-PDB_Burning!Q90</f>
        <v>0.26875000000000004</v>
      </c>
      <c r="O21" s="4">
        <f>Assumptions!$E$10</f>
        <v>0.35</v>
      </c>
      <c r="P21" s="4">
        <f>Assumptions!$E$11</f>
        <v>2.2999999999999998</v>
      </c>
      <c r="Q21" s="4">
        <f>Assumptions!$E$12</f>
        <v>28</v>
      </c>
      <c r="R21" s="4">
        <f>Assumptions!$E$17</f>
        <v>0.21</v>
      </c>
      <c r="S21" s="4">
        <f>Assumptions!$E$6</f>
        <v>265</v>
      </c>
      <c r="T21" s="82">
        <f t="shared" si="1"/>
        <v>5.6732071032000002</v>
      </c>
      <c r="U21" s="82">
        <f>(F21*K21*$O$19*$P$19*$Q$19)/1000</f>
        <v>5.5693022112000001</v>
      </c>
      <c r="V21" s="82">
        <f t="shared" si="2"/>
        <v>6.5183002247999982</v>
      </c>
      <c r="W21" s="82">
        <f t="shared" si="3"/>
        <v>7.4188092887999977</v>
      </c>
      <c r="X21" s="82">
        <f t="shared" si="4"/>
        <v>7.4465172599999985</v>
      </c>
      <c r="Y21" s="82">
        <f>E21*J21*$O$21*$R$21*$S$21/1000</f>
        <v>4.9023909207000003</v>
      </c>
      <c r="Z21" s="82">
        <f t="shared" ref="Z21:AC21" si="22">F21*K21*$O$21*$R$21*$S$21/1000</f>
        <v>4.8126035411999997</v>
      </c>
      <c r="AA21" s="82">
        <f t="shared" si="22"/>
        <v>5.6326616072999984</v>
      </c>
      <c r="AB21" s="82">
        <f t="shared" si="22"/>
        <v>6.4108188962999977</v>
      </c>
      <c r="AC21" s="82">
        <f t="shared" si="22"/>
        <v>6.4347621974999996</v>
      </c>
      <c r="AD21" s="82">
        <f t="shared" si="11"/>
        <v>10.5755980239</v>
      </c>
      <c r="AE21" s="82">
        <f t="shared" si="6"/>
        <v>10.3819057524</v>
      </c>
      <c r="AF21" s="82">
        <f t="shared" si="7"/>
        <v>12.150961832099997</v>
      </c>
      <c r="AG21" s="82">
        <f t="shared" si="8"/>
        <v>13.829628185099995</v>
      </c>
      <c r="AH21" s="82">
        <f t="shared" si="9"/>
        <v>13.881279457499998</v>
      </c>
    </row>
    <row r="22" spans="1:34" x14ac:dyDescent="0.15">
      <c r="A22" s="5" t="s">
        <v>23</v>
      </c>
      <c r="B22" s="4"/>
      <c r="C22" s="4" t="s">
        <v>34</v>
      </c>
      <c r="D22" s="484">
        <f>Assumptions!D75</f>
        <v>236.66199999999998</v>
      </c>
      <c r="E22" s="4">
        <f>PDB_Burning!C94</f>
        <v>235.03200000000001</v>
      </c>
      <c r="F22" s="4">
        <f>PDB_Burning!F94</f>
        <v>235.03200000000001</v>
      </c>
      <c r="G22" s="4">
        <f>PDB_Burning!I94</f>
        <v>235.03200000000001</v>
      </c>
      <c r="H22" s="4">
        <f>PDB_Burning!L94</f>
        <v>235.03200000000001</v>
      </c>
      <c r="I22" s="4">
        <f>PDB_Burning!O94</f>
        <v>235.03200000000001</v>
      </c>
      <c r="J22" s="101">
        <f>PDB_Burning!D94-PDB_Burning!E94</f>
        <v>0.20766666666666667</v>
      </c>
      <c r="K22" s="101">
        <f>PDB_Burning!G94-PDB_Burning!H94</f>
        <v>0.2063333333333334</v>
      </c>
      <c r="L22" s="101">
        <f>PDB_Burning!J94-PDB_Burning!K94</f>
        <v>0.25066666666666665</v>
      </c>
      <c r="M22" s="101">
        <f>PDB_Burning!M94-PDB_Burning!N94</f>
        <v>0.28033333333333332</v>
      </c>
      <c r="N22" s="101">
        <f>PDB_Burning!P94-PDB_Burning!Q94</f>
        <v>0.27966666666666673</v>
      </c>
      <c r="O22" s="4">
        <f>Assumptions!$E$10</f>
        <v>0.35</v>
      </c>
      <c r="P22" s="4">
        <f>Assumptions!$E$11</f>
        <v>2.2999999999999998</v>
      </c>
      <c r="Q22" s="4">
        <f>Assumptions!$E$12</f>
        <v>28</v>
      </c>
      <c r="R22" s="4">
        <f>Assumptions!$E$17</f>
        <v>0.21</v>
      </c>
      <c r="S22" s="4">
        <f>Assumptions!$E$6</f>
        <v>265</v>
      </c>
      <c r="T22" s="82">
        <f t="shared" si="1"/>
        <v>1.1001393524799998</v>
      </c>
      <c r="U22" s="82">
        <f t="shared" ref="U22:U29" si="23">(F22*K22*$O$19*$P$19*$Q$19)/1000</f>
        <v>1.0930758574400001</v>
      </c>
      <c r="V22" s="82">
        <f t="shared" si="2"/>
        <v>1.3279370675199997</v>
      </c>
      <c r="W22" s="82">
        <f t="shared" si="3"/>
        <v>1.48509983216</v>
      </c>
      <c r="X22" s="82">
        <f t="shared" si="4"/>
        <v>1.4815680846400001</v>
      </c>
      <c r="Y22" s="82">
        <f>E22*J22*$O$22*$R$22*$S$22/1000</f>
        <v>0.95066389697999987</v>
      </c>
      <c r="Z22" s="82">
        <f t="shared" ref="Z22:AC22" si="24">F22*K22*$O$22*$R$22*$S$22/1000</f>
        <v>0.94456011594000033</v>
      </c>
      <c r="AA22" s="82">
        <f t="shared" si="24"/>
        <v>1.1475108355199999</v>
      </c>
      <c r="AB22" s="82">
        <f t="shared" si="24"/>
        <v>1.2833199636599999</v>
      </c>
      <c r="AC22" s="82">
        <f t="shared" si="24"/>
        <v>1.28026807314</v>
      </c>
      <c r="AD22" s="82">
        <f t="shared" si="11"/>
        <v>2.0508032494599995</v>
      </c>
      <c r="AE22" s="82">
        <f t="shared" si="6"/>
        <v>2.0376359733800005</v>
      </c>
      <c r="AF22" s="82">
        <f t="shared" si="7"/>
        <v>2.4754479030399996</v>
      </c>
      <c r="AG22" s="82">
        <f t="shared" si="8"/>
        <v>2.7684197958199999</v>
      </c>
      <c r="AH22" s="82">
        <f t="shared" si="9"/>
        <v>2.7618361577800004</v>
      </c>
    </row>
    <row r="23" spans="1:34" x14ac:dyDescent="0.15">
      <c r="A23" s="5" t="s">
        <v>24</v>
      </c>
      <c r="B23" s="4"/>
      <c r="C23" s="4" t="s">
        <v>35</v>
      </c>
      <c r="D23" s="484">
        <f>Assumptions!D76</f>
        <v>6640.8160000000016</v>
      </c>
      <c r="E23" s="4">
        <f>PDB_Burning!C100</f>
        <v>2568.2039999999997</v>
      </c>
      <c r="F23" s="4">
        <f>PDB_Burning!F100</f>
        <v>2568.2039999999997</v>
      </c>
      <c r="G23" s="4">
        <f>PDB_Burning!I100</f>
        <v>2568.2039999999997</v>
      </c>
      <c r="H23" s="4">
        <f>PDB_Burning!L100</f>
        <v>2568.2039999999997</v>
      </c>
      <c r="I23" s="4">
        <f>PDB_Burning!O100</f>
        <v>2568.2039999999997</v>
      </c>
      <c r="J23" s="101">
        <f>PDB_Burning!D100-PDB_Burning!E100</f>
        <v>0.20319999999999999</v>
      </c>
      <c r="K23" s="101">
        <f>PDB_Burning!G100-PDB_Burning!H100</f>
        <v>0.20100000000000001</v>
      </c>
      <c r="L23" s="101">
        <f>PDB_Burning!J100-PDB_Burning!K100</f>
        <v>0.23119999999999999</v>
      </c>
      <c r="M23" s="101">
        <f>PDB_Burning!M100-PDB_Burning!N100</f>
        <v>0.2442</v>
      </c>
      <c r="N23" s="101">
        <f>PDB_Burning!P100-PDB_Burning!Q100</f>
        <v>0.24560000000000004</v>
      </c>
      <c r="O23" s="4">
        <f>Assumptions!$E$10</f>
        <v>0.35</v>
      </c>
      <c r="P23" s="4">
        <f>Assumptions!$E$11</f>
        <v>2.2999999999999998</v>
      </c>
      <c r="Q23" s="4">
        <f>Assumptions!$E$12</f>
        <v>28</v>
      </c>
      <c r="R23" s="4">
        <f>Assumptions!$E$17</f>
        <v>0.21</v>
      </c>
      <c r="S23" s="4">
        <f>Assumptions!$E$6</f>
        <v>265</v>
      </c>
      <c r="T23" s="82">
        <f t="shared" si="1"/>
        <v>11.762703050111996</v>
      </c>
      <c r="U23" s="82">
        <f t="shared" si="23"/>
        <v>11.635350950159996</v>
      </c>
      <c r="V23" s="82">
        <f t="shared" si="2"/>
        <v>13.383547958591995</v>
      </c>
      <c r="W23" s="82">
        <f t="shared" si="3"/>
        <v>14.136083094671994</v>
      </c>
      <c r="X23" s="82">
        <f t="shared" si="4"/>
        <v>14.217125340096</v>
      </c>
      <c r="Y23" s="82">
        <f>E23*J23*$O$23*$R$23*$S$23/1000</f>
        <v>10.164509700911998</v>
      </c>
      <c r="Z23" s="82">
        <f t="shared" ref="Z23:AC23" si="25">F23*K23*$O$23*$R$23*$S$23/1000</f>
        <v>10.054460875409998</v>
      </c>
      <c r="AA23" s="82">
        <f t="shared" si="25"/>
        <v>11.565131116391994</v>
      </c>
      <c r="AB23" s="82">
        <f t="shared" si="25"/>
        <v>12.215419630721998</v>
      </c>
      <c r="AC23" s="82">
        <f t="shared" si="25"/>
        <v>12.285450701496002</v>
      </c>
      <c r="AD23" s="82">
        <f t="shared" si="11"/>
        <v>21.927212751023994</v>
      </c>
      <c r="AE23" s="82">
        <f t="shared" si="6"/>
        <v>21.689811825569993</v>
      </c>
      <c r="AF23" s="82">
        <f t="shared" si="7"/>
        <v>24.948679074983989</v>
      </c>
      <c r="AG23" s="82">
        <f t="shared" si="8"/>
        <v>26.351502725393992</v>
      </c>
      <c r="AH23" s="82">
        <f t="shared" si="9"/>
        <v>26.502576041592</v>
      </c>
    </row>
    <row r="24" spans="1:34" x14ac:dyDescent="0.15">
      <c r="A24" s="5" t="s">
        <v>25</v>
      </c>
      <c r="B24" s="4"/>
      <c r="C24" s="4" t="s">
        <v>36</v>
      </c>
      <c r="D24" s="484">
        <f>Assumptions!D77</f>
        <v>837.08299999999997</v>
      </c>
      <c r="E24" s="4">
        <f>PDB_Burning!C105</f>
        <v>394.41999999999996</v>
      </c>
      <c r="F24" s="4">
        <f>PDB_Burning!F105</f>
        <v>394.41999999999996</v>
      </c>
      <c r="G24" s="4">
        <f>PDB_Burning!I105</f>
        <v>394.41999999999996</v>
      </c>
      <c r="H24" s="4">
        <f>PDB_Burning!L105</f>
        <v>394.41999999999996</v>
      </c>
      <c r="I24" s="4">
        <f>PDB_Burning!O105</f>
        <v>394.41999999999996</v>
      </c>
      <c r="J24" s="101">
        <f>PDB_Burning!D105-PDB_Burning!E105</f>
        <v>0.19725000000000004</v>
      </c>
      <c r="K24" s="101">
        <f>PDB_Burning!G105-PDB_Burning!H105</f>
        <v>0.19425000000000003</v>
      </c>
      <c r="L24" s="101">
        <f>PDB_Burning!J105-PDB_Burning!K105</f>
        <v>0.22949999999999998</v>
      </c>
      <c r="M24" s="101">
        <f>PDB_Burning!M105-PDB_Burning!N105</f>
        <v>0.25049999999999994</v>
      </c>
      <c r="N24" s="101">
        <f>PDB_Burning!P105-PDB_Burning!Q105</f>
        <v>0.24800000000000003</v>
      </c>
      <c r="O24" s="4">
        <f>Assumptions!$E$10</f>
        <v>0.35</v>
      </c>
      <c r="P24" s="4">
        <f>Assumptions!$E$11</f>
        <v>2.2999999999999998</v>
      </c>
      <c r="Q24" s="4">
        <f>Assumptions!$E$12</f>
        <v>28</v>
      </c>
      <c r="R24" s="4">
        <f>Assumptions!$E$17</f>
        <v>0.21</v>
      </c>
      <c r="S24" s="4">
        <f>Assumptions!$E$6</f>
        <v>265</v>
      </c>
      <c r="T24" s="82">
        <f t="shared" si="1"/>
        <v>1.7535972362999999</v>
      </c>
      <c r="U24" s="82">
        <f t="shared" si="23"/>
        <v>1.7269265559</v>
      </c>
      <c r="V24" s="82">
        <f t="shared" si="2"/>
        <v>2.0403070505999996</v>
      </c>
      <c r="W24" s="82">
        <f t="shared" si="3"/>
        <v>2.2270018133999989</v>
      </c>
      <c r="X24" s="82">
        <f t="shared" si="4"/>
        <v>2.2047762463999998</v>
      </c>
      <c r="Y24" s="82">
        <f>E24*J24*$O$24*$R$24*$S$24/1000</f>
        <v>1.5153367422374999</v>
      </c>
      <c r="Z24" s="82">
        <f t="shared" ref="Z24:AC24" si="26">F24*K24*$O$24*$R$24*$S$24/1000</f>
        <v>1.4922897955875001</v>
      </c>
      <c r="AA24" s="82">
        <f t="shared" si="26"/>
        <v>1.7630914187249995</v>
      </c>
      <c r="AB24" s="82">
        <f t="shared" si="26"/>
        <v>1.9244200452749989</v>
      </c>
      <c r="AC24" s="82">
        <f t="shared" si="26"/>
        <v>1.9052142563999999</v>
      </c>
      <c r="AD24" s="82">
        <f t="shared" si="11"/>
        <v>3.2689339785374996</v>
      </c>
      <c r="AE24" s="82">
        <f t="shared" si="6"/>
        <v>3.2192163514874998</v>
      </c>
      <c r="AF24" s="82">
        <f t="shared" si="7"/>
        <v>3.8033984693249989</v>
      </c>
      <c r="AG24" s="82">
        <f t="shared" si="8"/>
        <v>4.1514218586749978</v>
      </c>
      <c r="AH24" s="82">
        <f t="shared" si="9"/>
        <v>4.1099905027999997</v>
      </c>
    </row>
    <row r="25" spans="1:34" x14ac:dyDescent="0.15">
      <c r="A25" s="5" t="s">
        <v>26</v>
      </c>
      <c r="B25" s="4"/>
      <c r="C25" s="4" t="s">
        <v>350</v>
      </c>
      <c r="D25" s="484">
        <f>Assumptions!D78</f>
        <v>1849.3409999999997</v>
      </c>
      <c r="E25" s="4">
        <f>PDB_Burning!C115</f>
        <v>481</v>
      </c>
      <c r="F25" s="4">
        <f>PDB_Burning!F115</f>
        <v>481</v>
      </c>
      <c r="G25" s="4">
        <f>PDB_Burning!I115</f>
        <v>481</v>
      </c>
      <c r="H25" s="4">
        <f>PDB_Burning!L115</f>
        <v>481</v>
      </c>
      <c r="I25" s="4">
        <f>PDB_Burning!O115</f>
        <v>481</v>
      </c>
      <c r="J25" s="101">
        <f>PDB_Burning!D115-PDB_Burning!E115</f>
        <v>0.20666666666666667</v>
      </c>
      <c r="K25" s="101">
        <f>PDB_Burning!G115-PDB_Burning!H115</f>
        <v>0.2098888888888889</v>
      </c>
      <c r="L25" s="101">
        <f>PDB_Burning!J115-PDB_Burning!K115</f>
        <v>0.20855555555555558</v>
      </c>
      <c r="M25" s="101">
        <f>PDB_Burning!M115-PDB_Burning!N115</f>
        <v>0.21144444444444446</v>
      </c>
      <c r="N25" s="101">
        <f>PDB_Burning!P115-PDB_Burning!Q115</f>
        <v>0.21611111111111111</v>
      </c>
      <c r="O25" s="4">
        <f>Assumptions!$E$10</f>
        <v>0.35</v>
      </c>
      <c r="P25" s="4">
        <f>Assumptions!$E$11</f>
        <v>2.2999999999999998</v>
      </c>
      <c r="Q25" s="4">
        <f>Assumptions!$E$12</f>
        <v>28</v>
      </c>
      <c r="R25" s="4">
        <f>Assumptions!$E$17</f>
        <v>0.21</v>
      </c>
      <c r="S25" s="4">
        <f>Assumptions!$E$6</f>
        <v>265</v>
      </c>
      <c r="T25" s="82">
        <f t="shared" si="1"/>
        <v>2.2406262666666663</v>
      </c>
      <c r="U25" s="82">
        <f t="shared" si="23"/>
        <v>2.2755607622222223</v>
      </c>
      <c r="V25" s="82">
        <f t="shared" si="2"/>
        <v>2.2611051088888883</v>
      </c>
      <c r="W25" s="82">
        <f t="shared" si="3"/>
        <v>2.2924256911111112</v>
      </c>
      <c r="X25" s="82">
        <f t="shared" si="4"/>
        <v>2.343020477777777</v>
      </c>
      <c r="Y25" s="82">
        <f>E25*J25*$O$25*$R$25*$S$25/1000</f>
        <v>1.9361933499999997</v>
      </c>
      <c r="Z25" s="82">
        <f t="shared" ref="Z25:AC25" si="27">F25*K25*$O$25*$R$25*$S$25/1000</f>
        <v>1.9663813108333337</v>
      </c>
      <c r="AA25" s="82">
        <f t="shared" si="27"/>
        <v>1.9538897408333333</v>
      </c>
      <c r="AB25" s="82">
        <f t="shared" si="27"/>
        <v>1.9809548091666669</v>
      </c>
      <c r="AC25" s="82">
        <f t="shared" si="27"/>
        <v>2.0246753041666663</v>
      </c>
      <c r="AD25" s="82">
        <f t="shared" si="11"/>
        <v>4.1768196166666662</v>
      </c>
      <c r="AE25" s="82">
        <f t="shared" si="6"/>
        <v>4.2419420730555562</v>
      </c>
      <c r="AF25" s="82">
        <f t="shared" si="7"/>
        <v>4.2149948497222214</v>
      </c>
      <c r="AG25" s="82">
        <f t="shared" si="8"/>
        <v>4.2733805002777778</v>
      </c>
      <c r="AH25" s="82">
        <f t="shared" si="9"/>
        <v>4.3676957819444429</v>
      </c>
    </row>
    <row r="26" spans="1:34" x14ac:dyDescent="0.15">
      <c r="A26" s="5" t="s">
        <v>27</v>
      </c>
      <c r="B26" s="4"/>
      <c r="C26" s="4" t="s">
        <v>37</v>
      </c>
      <c r="D26" s="484">
        <f>Assumptions!D79</f>
        <v>7884.7310000000007</v>
      </c>
      <c r="E26" s="59">
        <f>PDB_Burning!C121</f>
        <v>1833.66</v>
      </c>
      <c r="F26" s="4">
        <f>PDB_Burning!F121</f>
        <v>1833.66</v>
      </c>
      <c r="G26" s="4">
        <f>PDB_Burning!I121</f>
        <v>1833.66</v>
      </c>
      <c r="H26" s="4">
        <f>PDB_Burning!L121</f>
        <v>1833.66</v>
      </c>
      <c r="I26" s="4">
        <f>PDB_Burning!O121</f>
        <v>1833.66</v>
      </c>
      <c r="J26" s="101">
        <f>PDB_Burning!D121-PDB_Burning!E121</f>
        <v>0.21900000000000003</v>
      </c>
      <c r="K26" s="101">
        <f>PDB_Burning!G121-PDB_Burning!H121</f>
        <v>0.21680000000000002</v>
      </c>
      <c r="L26" s="101">
        <f>PDB_Burning!J121-PDB_Burning!K121</f>
        <v>0.21380000000000002</v>
      </c>
      <c r="M26" s="101">
        <f>PDB_Burning!M121-PDB_Burning!N121</f>
        <v>0.21840000000000004</v>
      </c>
      <c r="N26" s="101">
        <f>PDB_Burning!P121-PDB_Burning!Q121</f>
        <v>0.22460000000000002</v>
      </c>
      <c r="O26" s="4">
        <f>Assumptions!$E$10</f>
        <v>0.35</v>
      </c>
      <c r="P26" s="4">
        <f>Assumptions!$E$11</f>
        <v>2.2999999999999998</v>
      </c>
      <c r="Q26" s="4">
        <f>Assumptions!$E$12</f>
        <v>28</v>
      </c>
      <c r="R26" s="4">
        <f>Assumptions!$E$17</f>
        <v>0.21</v>
      </c>
      <c r="S26" s="4">
        <f>Assumptions!$E$6</f>
        <v>265</v>
      </c>
      <c r="T26" s="82">
        <f t="shared" si="1"/>
        <v>9.051422511600002</v>
      </c>
      <c r="U26" s="82">
        <f t="shared" si="23"/>
        <v>8.96049497952</v>
      </c>
      <c r="V26" s="82">
        <f t="shared" si="2"/>
        <v>8.8365028903200002</v>
      </c>
      <c r="W26" s="82">
        <f t="shared" si="3"/>
        <v>9.0266240937599989</v>
      </c>
      <c r="X26" s="82">
        <f t="shared" si="4"/>
        <v>9.2828744114399999</v>
      </c>
      <c r="Y26" s="82">
        <f>E26*J26*$O$26*$R$26*$S$26/1000</f>
        <v>7.8216096703500018</v>
      </c>
      <c r="Z26" s="82">
        <f t="shared" ref="Z26:AC26" si="28">F26*K26*$O$26*$R$26*$S$26/1000</f>
        <v>7.7430364225199995</v>
      </c>
      <c r="AA26" s="82">
        <f t="shared" si="28"/>
        <v>7.635891084569999</v>
      </c>
      <c r="AB26" s="82">
        <f t="shared" si="28"/>
        <v>7.8001806027600002</v>
      </c>
      <c r="AC26" s="82">
        <f t="shared" si="28"/>
        <v>8.0216143011900005</v>
      </c>
      <c r="AD26" s="82">
        <f t="shared" si="11"/>
        <v>16.873032181950002</v>
      </c>
      <c r="AE26" s="82">
        <f t="shared" si="6"/>
        <v>16.703531402039999</v>
      </c>
      <c r="AF26" s="82">
        <f t="shared" si="7"/>
        <v>16.47239397489</v>
      </c>
      <c r="AG26" s="82">
        <f t="shared" si="8"/>
        <v>16.82680469652</v>
      </c>
      <c r="AH26" s="82">
        <f t="shared" si="9"/>
        <v>17.30448871263</v>
      </c>
    </row>
    <row r="27" spans="1:34" x14ac:dyDescent="0.15">
      <c r="A27" s="5" t="s">
        <v>28</v>
      </c>
      <c r="B27" s="4"/>
      <c r="C27" s="4" t="s">
        <v>36</v>
      </c>
      <c r="D27" s="484">
        <f>Assumptions!D80</f>
        <v>2195.1750000000002</v>
      </c>
      <c r="E27" s="59">
        <f>PDB_Burning!C127</f>
        <v>665.2</v>
      </c>
      <c r="F27" s="4">
        <f>PDB_Burning!F127</f>
        <v>665.2</v>
      </c>
      <c r="G27" s="4">
        <f>PDB_Burning!I127</f>
        <v>665.2</v>
      </c>
      <c r="H27" s="4">
        <f>PDB_Burning!L127</f>
        <v>665.2</v>
      </c>
      <c r="I27" s="4">
        <f>PDB_Burning!O127</f>
        <v>665.2</v>
      </c>
      <c r="J27" s="101">
        <f>PDB_Burning!D127-PDB_Burning!E127</f>
        <v>0.21900000000000003</v>
      </c>
      <c r="K27" s="101">
        <f>PDB_Burning!G127-PDB_Burning!H127</f>
        <v>0.21960000000000002</v>
      </c>
      <c r="L27" s="101">
        <f>PDB_Burning!J127-PDB_Burning!K127</f>
        <v>0.21740000000000001</v>
      </c>
      <c r="M27" s="101">
        <f>PDB_Burning!M127-PDB_Burning!N127</f>
        <v>0.22939999999999997</v>
      </c>
      <c r="N27" s="101">
        <f>PDB_Burning!P127-PDB_Burning!Q127</f>
        <v>0.22980000000000003</v>
      </c>
      <c r="O27" s="4">
        <f>Assumptions!$E$10</f>
        <v>0.35</v>
      </c>
      <c r="P27" s="4">
        <f>Assumptions!$E$11</f>
        <v>2.2999999999999998</v>
      </c>
      <c r="Q27" s="4">
        <f>Assumptions!$E$12</f>
        <v>28</v>
      </c>
      <c r="R27" s="4">
        <f>Assumptions!$E$17</f>
        <v>0.21</v>
      </c>
      <c r="S27" s="4">
        <f>Assumptions!$E$6</f>
        <v>265</v>
      </c>
      <c r="T27" s="82">
        <f t="shared" si="1"/>
        <v>3.2836001520000004</v>
      </c>
      <c r="U27" s="82">
        <f t="shared" si="23"/>
        <v>3.2925963168000005</v>
      </c>
      <c r="V27" s="82">
        <f t="shared" si="2"/>
        <v>3.2596103791999997</v>
      </c>
      <c r="W27" s="82">
        <f t="shared" si="3"/>
        <v>3.4395336751999994</v>
      </c>
      <c r="X27" s="82">
        <f t="shared" si="4"/>
        <v>3.4455311184000004</v>
      </c>
      <c r="Y27" s="82">
        <f>E27*J27*$O$27*$R$27*$S$27/1000</f>
        <v>2.8374588270000003</v>
      </c>
      <c r="Z27" s="82">
        <f t="shared" ref="Z27:AC27" si="29">F27*K27*$O$27*$R$27*$S$27/1000</f>
        <v>2.8452326868000011</v>
      </c>
      <c r="AA27" s="82">
        <f t="shared" si="29"/>
        <v>2.8167285342000001</v>
      </c>
      <c r="AB27" s="82">
        <f t="shared" si="29"/>
        <v>2.9722057301999993</v>
      </c>
      <c r="AC27" s="82">
        <f t="shared" si="29"/>
        <v>2.9773883034000006</v>
      </c>
      <c r="AD27" s="82">
        <f t="shared" si="11"/>
        <v>6.1210589790000007</v>
      </c>
      <c r="AE27" s="82">
        <f t="shared" si="6"/>
        <v>6.1378290036000021</v>
      </c>
      <c r="AF27" s="82">
        <f t="shared" si="7"/>
        <v>6.0763389133999999</v>
      </c>
      <c r="AG27" s="82">
        <f t="shared" si="8"/>
        <v>6.4117394053999988</v>
      </c>
      <c r="AH27" s="82">
        <f t="shared" si="9"/>
        <v>6.4229194218000014</v>
      </c>
    </row>
    <row r="28" spans="1:34" x14ac:dyDescent="0.15">
      <c r="A28" s="5" t="s">
        <v>29</v>
      </c>
      <c r="B28" s="4"/>
      <c r="C28" s="4" t="s">
        <v>37</v>
      </c>
      <c r="D28" s="484">
        <f>Assumptions!D81</f>
        <v>454.25200000000001</v>
      </c>
      <c r="E28" s="59">
        <f>PDB_Burning!C132</f>
        <v>99.65</v>
      </c>
      <c r="F28" s="4">
        <f>PDB_Burning!F132</f>
        <v>99.65</v>
      </c>
      <c r="G28" s="4">
        <f>PDB_Burning!I132</f>
        <v>99.65</v>
      </c>
      <c r="H28" s="4">
        <f>PDB_Burning!L132</f>
        <v>99.65</v>
      </c>
      <c r="I28" s="4">
        <f>PDB_Burning!O132</f>
        <v>99.65</v>
      </c>
      <c r="J28" s="101">
        <f>PDB_Burning!D132-PDB_Burning!E132</f>
        <v>0.191</v>
      </c>
      <c r="K28" s="101">
        <f>PDB_Burning!G132-PDB_Burning!H132</f>
        <v>0.20325000000000004</v>
      </c>
      <c r="L28" s="101">
        <f>PDB_Burning!J132-PDB_Burning!K132</f>
        <v>0.20599999999999996</v>
      </c>
      <c r="M28" s="101">
        <f>PDB_Burning!M132-PDB_Burning!N132</f>
        <v>0.22025</v>
      </c>
      <c r="N28" s="101">
        <f>PDB_Burning!P132-PDB_Burning!Q132</f>
        <v>0.22475000000000001</v>
      </c>
      <c r="O28" s="4">
        <f>Assumptions!$E$10</f>
        <v>0.35</v>
      </c>
      <c r="P28" s="4">
        <f>Assumptions!$E$11</f>
        <v>2.2999999999999998</v>
      </c>
      <c r="Q28" s="4">
        <f>Assumptions!$E$12</f>
        <v>28</v>
      </c>
      <c r="R28" s="4">
        <f>Assumptions!$E$17</f>
        <v>0.21</v>
      </c>
      <c r="S28" s="4">
        <f>Assumptions!$E$6</f>
        <v>265</v>
      </c>
      <c r="T28" s="82">
        <f t="shared" si="1"/>
        <v>0.429007201</v>
      </c>
      <c r="U28" s="82">
        <f t="shared" si="23"/>
        <v>0.45652206075000001</v>
      </c>
      <c r="V28" s="82">
        <f t="shared" si="2"/>
        <v>0.46269886599999982</v>
      </c>
      <c r="W28" s="82">
        <f t="shared" si="3"/>
        <v>0.49470594774999993</v>
      </c>
      <c r="X28" s="82">
        <f t="shared" si="4"/>
        <v>0.50481344724999988</v>
      </c>
      <c r="Y28" s="82">
        <f>E28*J28*$O$28*$R$28*$S$28/1000</f>
        <v>0.37071817912499999</v>
      </c>
      <c r="Z28" s="82">
        <f t="shared" ref="Z28:AC28" si="30">F28*K28*$O$28*$R$28*$S$28/1000</f>
        <v>0.39449460684375004</v>
      </c>
      <c r="AA28" s="82">
        <f t="shared" si="30"/>
        <v>0.39983217224999995</v>
      </c>
      <c r="AB28" s="82">
        <f t="shared" si="30"/>
        <v>0.42749046571874999</v>
      </c>
      <c r="AC28" s="82">
        <f t="shared" si="30"/>
        <v>0.43622466365625001</v>
      </c>
      <c r="AD28" s="82">
        <f t="shared" si="11"/>
        <v>0.79972538012499994</v>
      </c>
      <c r="AE28" s="82">
        <f t="shared" si="6"/>
        <v>0.85101666759375005</v>
      </c>
      <c r="AF28" s="82">
        <f t="shared" si="7"/>
        <v>0.86253103824999977</v>
      </c>
      <c r="AG28" s="82">
        <f t="shared" si="8"/>
        <v>0.92219641346874992</v>
      </c>
      <c r="AH28" s="82">
        <f t="shared" si="9"/>
        <v>0.94103811090624989</v>
      </c>
    </row>
    <row r="29" spans="1:34" ht="13" thickBot="1" x14ac:dyDescent="0.2">
      <c r="A29" s="52" t="s">
        <v>30</v>
      </c>
      <c r="B29" s="51"/>
      <c r="C29" s="51" t="s">
        <v>35</v>
      </c>
      <c r="D29" s="484">
        <f>Assumptions!D82</f>
        <v>18064.454000000005</v>
      </c>
      <c r="E29" s="69">
        <f>PDB_Burning!C140</f>
        <v>2633.9297820000002</v>
      </c>
      <c r="F29" s="4">
        <f>PDB_Burning!F140</f>
        <v>2633.9297820000002</v>
      </c>
      <c r="G29" s="4">
        <f>PDB_Burning!I140</f>
        <v>2633.9297820000002</v>
      </c>
      <c r="H29" s="4">
        <f>PDB_Burning!L140</f>
        <v>2633.9297820000002</v>
      </c>
      <c r="I29" s="4">
        <f>PDB_Burning!O140</f>
        <v>2633.9297820000002</v>
      </c>
      <c r="J29" s="101">
        <f>PDB_Burning!D140-PDB_Burning!E140</f>
        <v>0.21171428571428569</v>
      </c>
      <c r="K29" s="101">
        <f>PDB_Burning!G140-PDB_Burning!H140</f>
        <v>0.21385714285714283</v>
      </c>
      <c r="L29" s="101">
        <f>PDB_Burning!J140-PDB_Burning!K140</f>
        <v>0.21042857142857144</v>
      </c>
      <c r="M29" s="101">
        <f>PDB_Burning!M140-PDB_Burning!N140</f>
        <v>0.21757142857142858</v>
      </c>
      <c r="N29" s="101">
        <f>PDB_Burning!P140-PDB_Burning!Q140</f>
        <v>0.22357142857142859</v>
      </c>
      <c r="O29" s="4">
        <f>Assumptions!$E$10</f>
        <v>0.35</v>
      </c>
      <c r="P29" s="4">
        <f>Assumptions!$E$11</f>
        <v>2.2999999999999998</v>
      </c>
      <c r="Q29" s="4">
        <f>Assumptions!$E$12</f>
        <v>28</v>
      </c>
      <c r="R29" s="4">
        <f>Assumptions!$E$17</f>
        <v>0.21</v>
      </c>
      <c r="S29" s="4">
        <f>Assumptions!$E$6</f>
        <v>265</v>
      </c>
      <c r="T29" s="82">
        <f t="shared" si="1"/>
        <v>12.569218276895279</v>
      </c>
      <c r="U29" s="82">
        <f t="shared" si="23"/>
        <v>12.696437085365876</v>
      </c>
      <c r="V29" s="82">
        <f t="shared" si="2"/>
        <v>12.492886991812918</v>
      </c>
      <c r="W29" s="82">
        <f t="shared" si="3"/>
        <v>12.91694968671492</v>
      </c>
      <c r="X29" s="82">
        <f t="shared" si="4"/>
        <v>13.273162350432601</v>
      </c>
      <c r="Y29" s="83">
        <f>E29*J29*$O$29*$R$29*$S$29/1000</f>
        <v>10.861444054491029</v>
      </c>
      <c r="Z29" s="83">
        <f t="shared" ref="Z29:AC29" si="31">F29*K29*$O$29*$R$29*$S$29/1000</f>
        <v>10.971377698767252</v>
      </c>
      <c r="AA29" s="83">
        <f t="shared" si="31"/>
        <v>10.795483867925295</v>
      </c>
      <c r="AB29" s="83">
        <f t="shared" si="31"/>
        <v>11.161929348846046</v>
      </c>
      <c r="AC29" s="83">
        <f t="shared" si="31"/>
        <v>11.469743552819477</v>
      </c>
      <c r="AD29" s="83">
        <f t="shared" si="11"/>
        <v>23.430662331386308</v>
      </c>
      <c r="AE29" s="83">
        <f t="shared" si="6"/>
        <v>23.667814784133128</v>
      </c>
      <c r="AF29" s="83">
        <f t="shared" si="7"/>
        <v>23.288370859738215</v>
      </c>
      <c r="AG29" s="83">
        <f t="shared" si="8"/>
        <v>24.078879035560966</v>
      </c>
      <c r="AH29" s="83">
        <f t="shared" si="9"/>
        <v>24.74290590325208</v>
      </c>
    </row>
    <row r="30" spans="1:34" ht="16" thickBot="1" x14ac:dyDescent="0.2">
      <c r="A30" s="551" t="s">
        <v>64</v>
      </c>
      <c r="B30" s="552"/>
      <c r="C30" s="552"/>
      <c r="D30" s="552"/>
      <c r="E30" s="552"/>
      <c r="F30" s="552"/>
      <c r="G30" s="552"/>
      <c r="H30" s="552"/>
      <c r="I30" s="552"/>
      <c r="J30" s="552"/>
      <c r="K30" s="552"/>
      <c r="L30" s="552"/>
      <c r="M30" s="552"/>
      <c r="N30" s="552"/>
      <c r="O30" s="552"/>
      <c r="P30" s="552"/>
      <c r="Q30" s="552"/>
      <c r="R30" s="552"/>
      <c r="S30" s="552"/>
      <c r="T30" s="552"/>
      <c r="U30" s="552"/>
      <c r="V30" s="552"/>
      <c r="W30" s="552"/>
      <c r="X30" s="552"/>
      <c r="Y30" s="552"/>
      <c r="Z30" s="553"/>
      <c r="AA30" s="553"/>
      <c r="AB30" s="553"/>
      <c r="AC30" s="554"/>
      <c r="AD30" s="84">
        <f>SUM(AD8:AD29)</f>
        <v>243.42924110278429</v>
      </c>
      <c r="AE30" s="84">
        <f>SUM(AE8:AE29)</f>
        <v>252.33679086846109</v>
      </c>
      <c r="AF30" s="84">
        <f t="shared" ref="AF30:AH30" si="32">SUM(AF8:AF29)</f>
        <v>262.87046605978151</v>
      </c>
      <c r="AG30" s="84">
        <f t="shared" si="32"/>
        <v>275.40250110068746</v>
      </c>
      <c r="AH30" s="84">
        <f t="shared" si="32"/>
        <v>284.15967004053448</v>
      </c>
    </row>
    <row r="31" spans="1:34" ht="16" thickBot="1" x14ac:dyDescent="0.2">
      <c r="A31" s="551" t="s">
        <v>291</v>
      </c>
      <c r="B31" s="552"/>
      <c r="C31" s="552"/>
      <c r="D31" s="552"/>
      <c r="E31" s="552"/>
      <c r="F31" s="552"/>
      <c r="G31" s="552"/>
      <c r="H31" s="552"/>
      <c r="I31" s="552"/>
      <c r="J31" s="552"/>
      <c r="K31" s="552"/>
      <c r="L31" s="552"/>
      <c r="M31" s="552"/>
      <c r="N31" s="552"/>
      <c r="O31" s="552"/>
      <c r="P31" s="552"/>
      <c r="Q31" s="552"/>
      <c r="R31" s="552"/>
      <c r="S31" s="552"/>
      <c r="T31" s="552"/>
      <c r="U31" s="552"/>
      <c r="V31" s="552"/>
      <c r="W31" s="552"/>
      <c r="X31" s="552"/>
      <c r="Y31" s="552"/>
      <c r="Z31" s="553"/>
      <c r="AA31" s="553"/>
      <c r="AB31" s="553"/>
      <c r="AC31" s="553"/>
      <c r="AD31" s="85">
        <f>AVERAGE(AD30:AH30)</f>
        <v>263.63973383444971</v>
      </c>
      <c r="AE31" s="67"/>
      <c r="AF31" s="67"/>
      <c r="AG31" s="67"/>
      <c r="AH31" s="68"/>
    </row>
    <row r="32" spans="1:34" x14ac:dyDescent="0.15">
      <c r="D32" s="86"/>
    </row>
    <row r="33" spans="3:14" x14ac:dyDescent="0.15">
      <c r="D33" s="86"/>
    </row>
    <row r="36" spans="3:14" x14ac:dyDescent="0.15">
      <c r="D36" s="476"/>
    </row>
    <row r="37" spans="3:14" x14ac:dyDescent="0.15">
      <c r="C37" s="102"/>
      <c r="D37" s="102"/>
      <c r="E37" s="102"/>
      <c r="F37" s="102"/>
    </row>
    <row r="38" spans="3:14" x14ac:dyDescent="0.15">
      <c r="J38" s="8"/>
      <c r="K38" s="8"/>
      <c r="L38" s="8"/>
      <c r="M38" s="8"/>
      <c r="N38" s="8"/>
    </row>
    <row r="39" spans="3:14" x14ac:dyDescent="0.15">
      <c r="J39" s="103"/>
      <c r="K39" s="103"/>
      <c r="L39" s="103"/>
      <c r="M39" s="103"/>
      <c r="N39" s="8"/>
    </row>
    <row r="40" spans="3:14" x14ac:dyDescent="0.15">
      <c r="J40" s="8"/>
      <c r="K40" s="8"/>
      <c r="L40" s="8"/>
      <c r="M40" s="8"/>
      <c r="N40" s="8"/>
    </row>
    <row r="41" spans="3:14" x14ac:dyDescent="0.15">
      <c r="J41" s="8"/>
      <c r="K41" s="8"/>
      <c r="L41" s="8"/>
      <c r="M41" s="8"/>
      <c r="N41" s="8"/>
    </row>
    <row r="42" spans="3:14" x14ac:dyDescent="0.15">
      <c r="E42" s="102"/>
      <c r="F42" s="102"/>
      <c r="J42" s="8"/>
      <c r="K42" s="8"/>
      <c r="L42" s="8"/>
      <c r="M42" s="8"/>
      <c r="N42" s="8"/>
    </row>
    <row r="43" spans="3:14" x14ac:dyDescent="0.15">
      <c r="J43" s="103"/>
      <c r="K43" s="103"/>
      <c r="L43" s="103"/>
      <c r="M43" s="103"/>
      <c r="N43" s="103"/>
    </row>
    <row r="44" spans="3:14" x14ac:dyDescent="0.15">
      <c r="J44" s="103"/>
      <c r="K44" s="103"/>
      <c r="L44" s="103"/>
      <c r="M44" s="103"/>
      <c r="N44" s="8"/>
    </row>
    <row r="45" spans="3:14" x14ac:dyDescent="0.15">
      <c r="J45" s="8"/>
      <c r="K45" s="103"/>
      <c r="L45" s="8"/>
      <c r="M45" s="8"/>
      <c r="N45" s="8"/>
    </row>
    <row r="46" spans="3:14" x14ac:dyDescent="0.15">
      <c r="J46" s="103"/>
      <c r="K46" s="103"/>
      <c r="L46" s="103"/>
      <c r="M46" s="103"/>
      <c r="N46" s="103"/>
    </row>
    <row r="47" spans="3:14" x14ac:dyDescent="0.15">
      <c r="J47" s="103"/>
      <c r="K47" s="103"/>
      <c r="L47" s="103"/>
      <c r="M47" s="103"/>
      <c r="N47" s="103"/>
    </row>
    <row r="48" spans="3:14" x14ac:dyDescent="0.15">
      <c r="J48" s="103"/>
      <c r="K48" s="103"/>
      <c r="L48" s="103"/>
      <c r="M48" s="103"/>
      <c r="N48" s="103"/>
    </row>
    <row r="49" spans="10:14" x14ac:dyDescent="0.15">
      <c r="J49" s="103"/>
      <c r="K49" s="103"/>
      <c r="L49" s="103"/>
      <c r="M49" s="103"/>
      <c r="N49" s="8"/>
    </row>
    <row r="50" spans="10:14" x14ac:dyDescent="0.15">
      <c r="J50" s="103"/>
      <c r="K50" s="103"/>
      <c r="L50" s="103"/>
      <c r="M50" s="103"/>
      <c r="N50" s="103"/>
    </row>
    <row r="51" spans="10:14" x14ac:dyDescent="0.15">
      <c r="J51" s="103"/>
      <c r="K51" s="103"/>
      <c r="L51" s="103"/>
      <c r="M51" s="103"/>
      <c r="N51" s="103"/>
    </row>
    <row r="52" spans="10:14" x14ac:dyDescent="0.15">
      <c r="J52" s="8"/>
      <c r="K52" s="8"/>
      <c r="L52" s="8"/>
      <c r="M52" s="8"/>
      <c r="N52" s="8"/>
    </row>
    <row r="53" spans="10:14" x14ac:dyDescent="0.15">
      <c r="J53" s="8"/>
      <c r="K53" s="8"/>
      <c r="L53" s="8"/>
      <c r="M53" s="8"/>
      <c r="N53" s="8"/>
    </row>
    <row r="54" spans="10:14" x14ac:dyDescent="0.15">
      <c r="J54" s="8"/>
      <c r="K54" s="8"/>
      <c r="L54" s="8"/>
      <c r="M54" s="8"/>
      <c r="N54" s="8"/>
    </row>
    <row r="55" spans="10:14" x14ac:dyDescent="0.15">
      <c r="J55" s="103"/>
      <c r="K55" s="103"/>
      <c r="L55" s="103"/>
      <c r="M55" s="103"/>
      <c r="N55" s="8"/>
    </row>
    <row r="56" spans="10:14" x14ac:dyDescent="0.15">
      <c r="J56" s="103"/>
      <c r="K56" s="103"/>
      <c r="L56" s="103"/>
      <c r="M56" s="103"/>
      <c r="N56" s="8"/>
    </row>
    <row r="57" spans="10:14" x14ac:dyDescent="0.15">
      <c r="J57" s="103"/>
      <c r="K57" s="103"/>
      <c r="L57" s="103"/>
      <c r="M57" s="103"/>
      <c r="N57" s="8"/>
    </row>
    <row r="58" spans="10:14" x14ac:dyDescent="0.15">
      <c r="J58" s="103"/>
      <c r="K58" s="103"/>
      <c r="L58" s="103"/>
      <c r="M58" s="103"/>
      <c r="N58" s="8"/>
    </row>
    <row r="59" spans="10:14" x14ac:dyDescent="0.15">
      <c r="J59" s="103"/>
      <c r="K59" s="103"/>
      <c r="L59" s="103"/>
      <c r="M59" s="103"/>
      <c r="N59" s="103"/>
    </row>
  </sheetData>
  <mergeCells count="17">
    <mergeCell ref="Y7:AC7"/>
    <mergeCell ref="A1:F1"/>
    <mergeCell ref="AD6:AH6"/>
    <mergeCell ref="AD7:AH7"/>
    <mergeCell ref="A30:AC30"/>
    <mergeCell ref="A31:AC31"/>
    <mergeCell ref="A5:A7"/>
    <mergeCell ref="B5:B7"/>
    <mergeCell ref="C5:C7"/>
    <mergeCell ref="D5:D7"/>
    <mergeCell ref="E6:I6"/>
    <mergeCell ref="E7:I7"/>
    <mergeCell ref="J6:N6"/>
    <mergeCell ref="J7:N7"/>
    <mergeCell ref="T6:X6"/>
    <mergeCell ref="T7:X7"/>
    <mergeCell ref="Y6:AC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B7148-6ED7-410A-B782-7A194F918CBD}">
  <dimension ref="A1:AH38"/>
  <sheetViews>
    <sheetView zoomScale="89" zoomScaleNormal="89" workbookViewId="0">
      <selection activeCell="B37" sqref="B37"/>
    </sheetView>
  </sheetViews>
  <sheetFormatPr baseColWidth="10" defaultColWidth="8.83203125" defaultRowHeight="12" x14ac:dyDescent="0.15"/>
  <cols>
    <col min="1" max="1" width="8.83203125" style="2"/>
    <col min="2" max="2" width="28.5" style="2" customWidth="1"/>
    <col min="3" max="3" width="18.33203125" style="2" customWidth="1"/>
    <col min="4" max="4" width="8.83203125" style="2"/>
    <col min="5" max="13" width="10.33203125" style="2" customWidth="1"/>
    <col min="14" max="14" width="11.5" style="2" customWidth="1"/>
    <col min="15" max="15" width="15.33203125" style="2" customWidth="1"/>
    <col min="16" max="16" width="11.83203125" style="2" customWidth="1"/>
    <col min="17" max="18" width="11.1640625" style="2" customWidth="1"/>
    <col min="19" max="19" width="12.33203125" style="2" customWidth="1"/>
    <col min="20" max="24" width="11.1640625" style="2" customWidth="1"/>
    <col min="25" max="33" width="12.33203125" style="2" customWidth="1"/>
    <col min="34" max="34" width="13.1640625" style="2" customWidth="1"/>
    <col min="35" max="16384" width="8.83203125" style="2"/>
  </cols>
  <sheetData>
    <row r="1" spans="1:34" ht="15" x14ac:dyDescent="0.2">
      <c r="A1" s="547" t="s">
        <v>415</v>
      </c>
      <c r="B1" s="547"/>
      <c r="C1" s="547"/>
      <c r="D1" s="547"/>
      <c r="E1" s="547"/>
      <c r="F1" s="547"/>
    </row>
    <row r="2" spans="1:34" ht="15" x14ac:dyDescent="0.2">
      <c r="A2" s="108" t="s">
        <v>416</v>
      </c>
      <c r="B2" s="108">
        <v>2710</v>
      </c>
      <c r="C2"/>
      <c r="D2"/>
      <c r="E2" s="11"/>
      <c r="F2"/>
    </row>
    <row r="3" spans="1:34" ht="15" x14ac:dyDescent="0.2">
      <c r="A3" s="108" t="s">
        <v>417</v>
      </c>
      <c r="B3" s="108">
        <v>6</v>
      </c>
      <c r="C3"/>
      <c r="D3"/>
      <c r="E3" s="11"/>
      <c r="F3"/>
    </row>
    <row r="6" spans="1:34" ht="73.25" customHeight="1" x14ac:dyDescent="0.15">
      <c r="A6" s="499" t="s">
        <v>8</v>
      </c>
      <c r="B6" s="499" t="s">
        <v>31</v>
      </c>
      <c r="C6" s="499" t="s">
        <v>32</v>
      </c>
      <c r="D6" s="499" t="s">
        <v>65</v>
      </c>
      <c r="E6" s="6" t="s">
        <v>212</v>
      </c>
      <c r="F6" s="6" t="s">
        <v>213</v>
      </c>
      <c r="G6" s="6" t="s">
        <v>214</v>
      </c>
      <c r="H6" s="6" t="s">
        <v>215</v>
      </c>
      <c r="I6" s="6" t="s">
        <v>77</v>
      </c>
      <c r="J6" s="6" t="s">
        <v>216</v>
      </c>
      <c r="K6" s="6" t="s">
        <v>217</v>
      </c>
      <c r="L6" s="6" t="s">
        <v>218</v>
      </c>
      <c r="M6" s="6" t="s">
        <v>219</v>
      </c>
      <c r="N6" s="6" t="s">
        <v>78</v>
      </c>
      <c r="O6" s="6" t="s">
        <v>54</v>
      </c>
      <c r="P6" s="6" t="s">
        <v>56</v>
      </c>
      <c r="Q6" s="6" t="s">
        <v>58</v>
      </c>
      <c r="R6" s="6" t="s">
        <v>66</v>
      </c>
      <c r="S6" s="6" t="s">
        <v>62</v>
      </c>
      <c r="T6" s="6" t="s">
        <v>220</v>
      </c>
      <c r="U6" s="6" t="s">
        <v>221</v>
      </c>
      <c r="V6" s="6" t="s">
        <v>222</v>
      </c>
      <c r="W6" s="6" t="s">
        <v>223</v>
      </c>
      <c r="X6" s="6" t="s">
        <v>224</v>
      </c>
      <c r="Y6" s="6" t="s">
        <v>225</v>
      </c>
      <c r="Z6" s="6" t="s">
        <v>226</v>
      </c>
      <c r="AA6" s="6" t="s">
        <v>227</v>
      </c>
      <c r="AB6" s="6" t="s">
        <v>228</v>
      </c>
      <c r="AC6" s="6" t="s">
        <v>229</v>
      </c>
      <c r="AD6" s="6" t="s">
        <v>230</v>
      </c>
      <c r="AE6" s="6" t="s">
        <v>231</v>
      </c>
      <c r="AF6" s="6" t="s">
        <v>232</v>
      </c>
      <c r="AG6" s="6" t="s">
        <v>233</v>
      </c>
      <c r="AH6" s="6" t="s">
        <v>79</v>
      </c>
    </row>
    <row r="7" spans="1:34" ht="15" x14ac:dyDescent="0.15">
      <c r="A7" s="500"/>
      <c r="B7" s="501"/>
      <c r="C7" s="501"/>
      <c r="D7" s="501"/>
      <c r="E7" s="548" t="s">
        <v>67</v>
      </c>
      <c r="F7" s="556"/>
      <c r="G7" s="556"/>
      <c r="H7" s="556"/>
      <c r="I7" s="557"/>
      <c r="J7" s="565" t="s">
        <v>387</v>
      </c>
      <c r="K7" s="549"/>
      <c r="L7" s="549"/>
      <c r="M7" s="549"/>
      <c r="N7" s="550"/>
      <c r="O7" s="4" t="s">
        <v>69</v>
      </c>
      <c r="P7" s="4" t="s">
        <v>70</v>
      </c>
      <c r="Q7" s="4" t="s">
        <v>71</v>
      </c>
      <c r="R7" s="4" t="s">
        <v>72</v>
      </c>
      <c r="S7" s="4" t="s">
        <v>73</v>
      </c>
      <c r="T7" s="548" t="s">
        <v>80</v>
      </c>
      <c r="U7" s="556"/>
      <c r="V7" s="556"/>
      <c r="W7" s="556"/>
      <c r="X7" s="557"/>
      <c r="Y7" s="548" t="s">
        <v>81</v>
      </c>
      <c r="Z7" s="556"/>
      <c r="AA7" s="556"/>
      <c r="AB7" s="556"/>
      <c r="AC7" s="557"/>
      <c r="AD7" s="565" t="s">
        <v>82</v>
      </c>
      <c r="AE7" s="549"/>
      <c r="AF7" s="549"/>
      <c r="AG7" s="549"/>
      <c r="AH7" s="550"/>
    </row>
    <row r="8" spans="1:34" ht="30.5" customHeight="1" x14ac:dyDescent="0.15">
      <c r="A8" s="500"/>
      <c r="B8" s="501"/>
      <c r="C8" s="501"/>
      <c r="D8" s="501"/>
      <c r="E8" s="548" t="s">
        <v>52</v>
      </c>
      <c r="F8" s="556"/>
      <c r="G8" s="556"/>
      <c r="H8" s="556"/>
      <c r="I8" s="557"/>
      <c r="J8" s="565" t="s">
        <v>53</v>
      </c>
      <c r="K8" s="549"/>
      <c r="L8" s="549"/>
      <c r="M8" s="549"/>
      <c r="N8" s="550"/>
      <c r="O8" s="6" t="s">
        <v>55</v>
      </c>
      <c r="P8" s="6" t="s">
        <v>57</v>
      </c>
      <c r="Q8" s="6" t="s">
        <v>59</v>
      </c>
      <c r="R8" s="6" t="s">
        <v>61</v>
      </c>
      <c r="S8" s="6" t="s">
        <v>63</v>
      </c>
      <c r="T8" s="548" t="s">
        <v>60</v>
      </c>
      <c r="U8" s="556"/>
      <c r="V8" s="556"/>
      <c r="W8" s="556"/>
      <c r="X8" s="557"/>
      <c r="Y8" s="548" t="s">
        <v>60</v>
      </c>
      <c r="Z8" s="556"/>
      <c r="AA8" s="556"/>
      <c r="AB8" s="556"/>
      <c r="AC8" s="557"/>
      <c r="AD8" s="565" t="s">
        <v>60</v>
      </c>
      <c r="AE8" s="549"/>
      <c r="AF8" s="549"/>
      <c r="AG8" s="549"/>
      <c r="AH8" s="550"/>
    </row>
    <row r="9" spans="1:34" x14ac:dyDescent="0.15">
      <c r="A9" s="3" t="s">
        <v>9</v>
      </c>
      <c r="B9" s="4" t="s">
        <v>709</v>
      </c>
      <c r="C9" s="4" t="s">
        <v>34</v>
      </c>
      <c r="D9" s="484">
        <f>Assumptions!D61</f>
        <v>183.761</v>
      </c>
      <c r="E9" s="9">
        <f>PDB_Burning!R8</f>
        <v>36.39</v>
      </c>
      <c r="F9" s="9">
        <f>PDB_Burning!U8</f>
        <v>0</v>
      </c>
      <c r="G9" s="9">
        <f>PDB_Burning!X8</f>
        <v>0</v>
      </c>
      <c r="H9" s="9">
        <f>PDB_Burning!AA8</f>
        <v>0</v>
      </c>
      <c r="I9" s="9">
        <f>PDB_Burning!AD8</f>
        <v>0</v>
      </c>
      <c r="J9" s="97">
        <f>PDB_Burning!S8-PDB_Burning!T8</f>
        <v>0.32074999999999992</v>
      </c>
      <c r="K9" s="97">
        <f>PDB_Burning!V8-PDB_Burning!W8</f>
        <v>0</v>
      </c>
      <c r="L9" s="97">
        <f>PDB_Burning!Y8-PDB_Burning!Z8</f>
        <v>0</v>
      </c>
      <c r="M9" s="97">
        <f>PDB_Burning!AB8-PDB_Burning!AC8</f>
        <v>0</v>
      </c>
      <c r="N9" s="97">
        <f>PDB_Burning!AE8-PDB_Burning!AF8</f>
        <v>0</v>
      </c>
      <c r="O9" s="4">
        <f>Assumptions!$E$10</f>
        <v>0.35</v>
      </c>
      <c r="P9" s="4">
        <f>Assumptions!$E$11</f>
        <v>2.2999999999999998</v>
      </c>
      <c r="Q9" s="4">
        <f>Assumptions!$E$12</f>
        <v>28</v>
      </c>
      <c r="R9" s="4">
        <f>Assumptions!$E$17</f>
        <v>0.21</v>
      </c>
      <c r="S9" s="4">
        <f>Assumptions!$E$6</f>
        <v>265</v>
      </c>
      <c r="T9" s="82">
        <f>(E9*J9*O9*P9*Q9)/1000</f>
        <v>0.26308896494999995</v>
      </c>
      <c r="U9" s="82">
        <f>(F9*K9*$O$9*$P$9*$Q$9)/1000</f>
        <v>0</v>
      </c>
      <c r="V9" s="82">
        <f>(G9*L9*$O$9*$P$9*$Q$9)/1000</f>
        <v>0</v>
      </c>
      <c r="W9" s="82">
        <f>(H9*M9*$O$9*$P$9*$Q$9)/1000</f>
        <v>0</v>
      </c>
      <c r="X9" s="82">
        <f>(I9*N9*$O$9*$P$9*$Q$9)/1000</f>
        <v>0</v>
      </c>
      <c r="Y9" s="82">
        <f>E9*J9*O9*R9*S9/1000</f>
        <v>0.22734318166874995</v>
      </c>
      <c r="Z9" s="82">
        <f>F9*K9*O9*R9*S9/1000</f>
        <v>0</v>
      </c>
      <c r="AA9" s="82">
        <f>G9*L9*O9*R9*S9/1000</f>
        <v>0</v>
      </c>
      <c r="AB9" s="82">
        <f>H9*M9*O9*R9*S9/1000</f>
        <v>0</v>
      </c>
      <c r="AC9" s="82">
        <f>I9*N9*O9*R9*S9/1000</f>
        <v>0</v>
      </c>
      <c r="AD9" s="82">
        <f>T9+Y9</f>
        <v>0.4904321466187499</v>
      </c>
      <c r="AE9" s="82">
        <f>U9+Z9</f>
        <v>0</v>
      </c>
      <c r="AF9" s="82">
        <f t="shared" ref="AF9:AG9" si="0">V9+AA9</f>
        <v>0</v>
      </c>
      <c r="AG9" s="82">
        <f t="shared" si="0"/>
        <v>0</v>
      </c>
      <c r="AH9" s="82">
        <f>X9+AC9</f>
        <v>0</v>
      </c>
    </row>
    <row r="10" spans="1:34" x14ac:dyDescent="0.15">
      <c r="A10" s="5" t="s">
        <v>10</v>
      </c>
      <c r="B10" s="4"/>
      <c r="C10" s="4" t="s">
        <v>35</v>
      </c>
      <c r="D10" s="484">
        <f>Assumptions!D62</f>
        <v>6772.8780000000015</v>
      </c>
      <c r="E10" s="9">
        <f>PDB_Burning!R16</f>
        <v>0</v>
      </c>
      <c r="F10" s="9">
        <f>PDB_Burning!U16</f>
        <v>512.9</v>
      </c>
      <c r="G10" s="9">
        <f>PDB_Burning!X16</f>
        <v>0</v>
      </c>
      <c r="H10" s="9">
        <f>PDB_Burning!AA16</f>
        <v>0</v>
      </c>
      <c r="I10" s="9">
        <f>PDB_Burning!AD16</f>
        <v>515.6</v>
      </c>
      <c r="J10" s="97">
        <f>PDB_Burning!S16-PDB_Burning!T16</f>
        <v>0</v>
      </c>
      <c r="K10" s="97">
        <f>PDB_Burning!V16-PDB_Burning!W16</f>
        <v>0.37171428571428566</v>
      </c>
      <c r="L10" s="97">
        <f>PDB_Burning!Y16-PDB_Burning!Z16</f>
        <v>0</v>
      </c>
      <c r="M10" s="97">
        <f>PDB_Burning!AB16-PDB_Burning!AC16</f>
        <v>0</v>
      </c>
      <c r="N10" s="97">
        <f>PDB_Burning!AE16-PDB_Burning!AF16</f>
        <v>0.42030117579999993</v>
      </c>
      <c r="O10" s="4">
        <f>Assumptions!$E$10</f>
        <v>0.35</v>
      </c>
      <c r="P10" s="4">
        <f>Assumptions!$E$11</f>
        <v>2.2999999999999998</v>
      </c>
      <c r="Q10" s="4">
        <f>Assumptions!$E$12</f>
        <v>28</v>
      </c>
      <c r="R10" s="4">
        <f>Assumptions!$E$17</f>
        <v>0.21</v>
      </c>
      <c r="S10" s="4">
        <f>Assumptions!$E$6</f>
        <v>265</v>
      </c>
      <c r="T10" s="82">
        <f t="shared" ref="T10:T30" si="1">(E10*J10*O10*P10*Q10)/1000</f>
        <v>0</v>
      </c>
      <c r="U10" s="82">
        <f t="shared" ref="U10:U30" si="2">(F10*K10*$O$9*$P$9*$Q$9)/1000</f>
        <v>4.2973018759999997</v>
      </c>
      <c r="V10" s="82">
        <f t="shared" ref="V10:V30" si="3">(G10*L10*$O$9*$P$9*$Q$9)/1000</f>
        <v>0</v>
      </c>
      <c r="W10" s="82">
        <f t="shared" ref="W10:W30" si="4">(H10*M10*$O$9*$P$9*$Q$9)/1000</f>
        <v>0</v>
      </c>
      <c r="X10" s="82">
        <f t="shared" ref="X10:X30" si="5">(I10*N10*$O$9*$P$9*$Q$9)/1000</f>
        <v>4.8845822319054975</v>
      </c>
      <c r="Y10" s="82">
        <f t="shared" ref="Y10:Y29" si="6">E10*J10*O10*R10*S10/1000</f>
        <v>0</v>
      </c>
      <c r="Z10" s="82">
        <f t="shared" ref="Z10:Z30" si="7">F10*K10*O10*R10*S10/1000</f>
        <v>3.7134293384999992</v>
      </c>
      <c r="AA10" s="82">
        <f t="shared" ref="AA10:AA30" si="8">G10*L10*O10*R10*S10/1000</f>
        <v>0</v>
      </c>
      <c r="AB10" s="82">
        <f t="shared" ref="AB10:AB30" si="9">H10*M10*O10*R10*S10/1000</f>
        <v>0</v>
      </c>
      <c r="AC10" s="82">
        <f t="shared" ref="AC10:AC30" si="10">I10*N10*O10*R10*S10/1000</f>
        <v>4.2209161677879026</v>
      </c>
      <c r="AD10" s="82">
        <f t="shared" ref="AD10:AD30" si="11">T10+Y10</f>
        <v>0</v>
      </c>
      <c r="AE10" s="82">
        <f t="shared" ref="AE10:AE30" si="12">U10+Z10</f>
        <v>8.010731214499998</v>
      </c>
      <c r="AF10" s="82">
        <f t="shared" ref="AF10:AF30" si="13">V10+AA10</f>
        <v>0</v>
      </c>
      <c r="AG10" s="82">
        <f t="shared" ref="AG10:AG30" si="14">W10+AB10</f>
        <v>0</v>
      </c>
      <c r="AH10" s="82">
        <f t="shared" ref="AH10:AH30" si="15">X10+AC10</f>
        <v>9.1054983996933991</v>
      </c>
    </row>
    <row r="11" spans="1:34" x14ac:dyDescent="0.15">
      <c r="A11" s="5" t="s">
        <v>11</v>
      </c>
      <c r="B11" s="4"/>
      <c r="C11" s="4" t="s">
        <v>35</v>
      </c>
      <c r="D11" s="484">
        <f>Assumptions!D63</f>
        <v>4319.8270000000002</v>
      </c>
      <c r="E11" s="9">
        <f>PDB_Burning!R22</f>
        <v>0</v>
      </c>
      <c r="F11" s="9">
        <f>PDB_Burning!U22</f>
        <v>0</v>
      </c>
      <c r="G11" s="9">
        <f>PDB_Burning!X22</f>
        <v>0</v>
      </c>
      <c r="H11" s="9">
        <f>PDB_Burning!AA22</f>
        <v>1002.13</v>
      </c>
      <c r="I11" s="9">
        <f>PDB_Burning!AD22</f>
        <v>0</v>
      </c>
      <c r="J11" s="97">
        <f>PDB_Burning!S22-PDB_Burning!T22</f>
        <v>0</v>
      </c>
      <c r="K11" s="97">
        <f>PDB_Burning!V22-PDB_Burning!W22</f>
        <v>0</v>
      </c>
      <c r="L11" s="97">
        <f>PDB_Burning!Y22-PDB_Burning!Z22</f>
        <v>0</v>
      </c>
      <c r="M11" s="97">
        <f>PDB_Burning!AB22-PDB_Burning!AC22</f>
        <v>0.41020000000000001</v>
      </c>
      <c r="N11" s="97">
        <f>PDB_Burning!AE22-PDB_Burning!AF22</f>
        <v>0</v>
      </c>
      <c r="O11" s="4">
        <f>Assumptions!$E$10</f>
        <v>0.35</v>
      </c>
      <c r="P11" s="4">
        <f>Assumptions!$E$11</f>
        <v>2.2999999999999998</v>
      </c>
      <c r="Q11" s="4">
        <f>Assumptions!$E$12</f>
        <v>28</v>
      </c>
      <c r="R11" s="4">
        <f>Assumptions!$E$17</f>
        <v>0.21</v>
      </c>
      <c r="S11" s="4">
        <f>Assumptions!$E$6</f>
        <v>265</v>
      </c>
      <c r="T11" s="82">
        <f t="shared" si="1"/>
        <v>0</v>
      </c>
      <c r="U11" s="82">
        <f t="shared" si="2"/>
        <v>0</v>
      </c>
      <c r="V11" s="82">
        <f t="shared" si="3"/>
        <v>0</v>
      </c>
      <c r="W11" s="82">
        <f t="shared" si="4"/>
        <v>9.2656017840399993</v>
      </c>
      <c r="X11" s="82">
        <f t="shared" si="5"/>
        <v>0</v>
      </c>
      <c r="Y11" s="82">
        <f t="shared" si="6"/>
        <v>0</v>
      </c>
      <c r="Z11" s="82">
        <f t="shared" si="7"/>
        <v>0</v>
      </c>
      <c r="AA11" s="82">
        <f t="shared" si="8"/>
        <v>0</v>
      </c>
      <c r="AB11" s="82">
        <f t="shared" si="9"/>
        <v>8.0066884981649995</v>
      </c>
      <c r="AC11" s="82">
        <f t="shared" si="10"/>
        <v>0</v>
      </c>
      <c r="AD11" s="82">
        <f t="shared" si="11"/>
        <v>0</v>
      </c>
      <c r="AE11" s="82">
        <f t="shared" si="12"/>
        <v>0</v>
      </c>
      <c r="AF11" s="82">
        <f t="shared" si="13"/>
        <v>0</v>
      </c>
      <c r="AG11" s="82">
        <f>W11+AB11</f>
        <v>17.272290282204999</v>
      </c>
      <c r="AH11" s="82">
        <f t="shared" si="15"/>
        <v>0</v>
      </c>
    </row>
    <row r="12" spans="1:34" x14ac:dyDescent="0.15">
      <c r="A12" s="5" t="s">
        <v>12</v>
      </c>
      <c r="B12" s="4"/>
      <c r="C12" s="4" t="s">
        <v>34</v>
      </c>
      <c r="D12" s="484">
        <f>Assumptions!D64</f>
        <v>1612.0500000000002</v>
      </c>
      <c r="E12" s="9">
        <f>PDB_Burning!R26</f>
        <v>0</v>
      </c>
      <c r="F12" s="9">
        <f>PDB_Burning!U26</f>
        <v>0</v>
      </c>
      <c r="G12" s="9">
        <f>PDB_Burning!X26</f>
        <v>0</v>
      </c>
      <c r="H12" s="9">
        <f>PDB_Burning!AA26</f>
        <v>0</v>
      </c>
      <c r="I12" s="9">
        <f>PDB_Burning!AD26</f>
        <v>0</v>
      </c>
      <c r="J12" s="97">
        <f>PDB_Burning!S26-PDB_Burning!T26</f>
        <v>0</v>
      </c>
      <c r="K12" s="97">
        <f>PDB_Burning!V26-PDB_Burning!W26</f>
        <v>0</v>
      </c>
      <c r="L12" s="97">
        <f>PDB_Burning!Y26-PDB_Burning!Z26</f>
        <v>0</v>
      </c>
      <c r="M12" s="97">
        <f>PDB_Burning!AB26-PDB_Burning!AC26</f>
        <v>0</v>
      </c>
      <c r="N12" s="97">
        <f>PDB_Burning!AE26-PDB_Burning!AF26</f>
        <v>0.41636941020000007</v>
      </c>
      <c r="O12" s="4">
        <f>Assumptions!$E$10</f>
        <v>0.35</v>
      </c>
      <c r="P12" s="4">
        <f>Assumptions!$E$11</f>
        <v>2.2999999999999998</v>
      </c>
      <c r="Q12" s="4">
        <f>Assumptions!$E$12</f>
        <v>28</v>
      </c>
      <c r="R12" s="4">
        <f>Assumptions!$E$17</f>
        <v>0.21</v>
      </c>
      <c r="S12" s="4">
        <f>Assumptions!$E$6</f>
        <v>265</v>
      </c>
      <c r="T12" s="82">
        <f t="shared" si="1"/>
        <v>0</v>
      </c>
      <c r="U12" s="82">
        <f t="shared" si="2"/>
        <v>0</v>
      </c>
      <c r="V12" s="82">
        <f t="shared" si="3"/>
        <v>0</v>
      </c>
      <c r="W12" s="82">
        <f t="shared" si="4"/>
        <v>0</v>
      </c>
      <c r="X12" s="82">
        <f t="shared" si="5"/>
        <v>0</v>
      </c>
      <c r="Y12" s="82">
        <f t="shared" si="6"/>
        <v>0</v>
      </c>
      <c r="Z12" s="82">
        <f t="shared" si="7"/>
        <v>0</v>
      </c>
      <c r="AA12" s="82">
        <f t="shared" si="8"/>
        <v>0</v>
      </c>
      <c r="AB12" s="82">
        <f t="shared" si="9"/>
        <v>0</v>
      </c>
      <c r="AC12" s="82">
        <f t="shared" si="10"/>
        <v>0</v>
      </c>
      <c r="AD12" s="82">
        <f t="shared" si="11"/>
        <v>0</v>
      </c>
      <c r="AE12" s="82">
        <f t="shared" si="12"/>
        <v>0</v>
      </c>
      <c r="AF12" s="82">
        <f t="shared" si="13"/>
        <v>0</v>
      </c>
      <c r="AG12" s="82">
        <f t="shared" si="14"/>
        <v>0</v>
      </c>
      <c r="AH12" s="82">
        <f t="shared" si="15"/>
        <v>0</v>
      </c>
    </row>
    <row r="13" spans="1:34" x14ac:dyDescent="0.15">
      <c r="A13" s="5" t="s">
        <v>13</v>
      </c>
      <c r="B13" s="4"/>
      <c r="C13" s="4" t="s">
        <v>34</v>
      </c>
      <c r="D13" s="484">
        <f>Assumptions!D65</f>
        <v>353.58800000000002</v>
      </c>
      <c r="E13" s="9">
        <f>PDB_Burning!R30</f>
        <v>0</v>
      </c>
      <c r="F13" s="9">
        <f>PDB_Burning!U30</f>
        <v>0</v>
      </c>
      <c r="G13" s="9">
        <f>PDB_Burning!X30</f>
        <v>0</v>
      </c>
      <c r="H13" s="9">
        <f>PDB_Burning!AA30</f>
        <v>0</v>
      </c>
      <c r="I13" s="9">
        <f>PDB_Burning!AD30</f>
        <v>76.099999999999994</v>
      </c>
      <c r="J13" s="97">
        <f>PDB_Burning!S30-PDB_Burning!T30</f>
        <v>0</v>
      </c>
      <c r="K13" s="97">
        <f>PDB_Burning!V30-PDB_Burning!W30</f>
        <v>0</v>
      </c>
      <c r="L13" s="97">
        <f>PDB_Burning!Y30-PDB_Burning!Z30</f>
        <v>0</v>
      </c>
      <c r="M13" s="97">
        <f>PDB_Burning!AB30-PDB_Burning!AC30</f>
        <v>0</v>
      </c>
      <c r="N13" s="97">
        <f>PDB_Burning!AE30-PDB_Burning!AF30</f>
        <v>0.42003607686666666</v>
      </c>
      <c r="O13" s="4">
        <f>Assumptions!$E$10</f>
        <v>0.35</v>
      </c>
      <c r="P13" s="4">
        <f>Assumptions!$E$11</f>
        <v>2.2999999999999998</v>
      </c>
      <c r="Q13" s="4">
        <f>Assumptions!$E$12</f>
        <v>28</v>
      </c>
      <c r="R13" s="4">
        <f>Assumptions!$E$17</f>
        <v>0.21</v>
      </c>
      <c r="S13" s="4">
        <f>Assumptions!$E$6</f>
        <v>265</v>
      </c>
      <c r="T13" s="82">
        <f t="shared" si="1"/>
        <v>0</v>
      </c>
      <c r="U13" s="82">
        <f t="shared" si="2"/>
        <v>0</v>
      </c>
      <c r="V13" s="82">
        <f t="shared" si="3"/>
        <v>0</v>
      </c>
      <c r="W13" s="82">
        <f t="shared" si="4"/>
        <v>0</v>
      </c>
      <c r="X13" s="82">
        <f t="shared" si="5"/>
        <v>0.72048536243293204</v>
      </c>
      <c r="Y13" s="82">
        <f t="shared" si="6"/>
        <v>0</v>
      </c>
      <c r="Z13" s="82">
        <f t="shared" si="7"/>
        <v>0</v>
      </c>
      <c r="AA13" s="82">
        <f t="shared" si="8"/>
        <v>0</v>
      </c>
      <c r="AB13" s="82">
        <f t="shared" si="9"/>
        <v>0</v>
      </c>
      <c r="AC13" s="82">
        <f t="shared" si="10"/>
        <v>0.62259332949367485</v>
      </c>
      <c r="AD13" s="82">
        <f t="shared" si="11"/>
        <v>0</v>
      </c>
      <c r="AE13" s="82">
        <f t="shared" si="12"/>
        <v>0</v>
      </c>
      <c r="AF13" s="82">
        <f t="shared" si="13"/>
        <v>0</v>
      </c>
      <c r="AG13" s="82">
        <f t="shared" si="14"/>
        <v>0</v>
      </c>
      <c r="AH13" s="82">
        <f t="shared" si="15"/>
        <v>1.3430786919266069</v>
      </c>
    </row>
    <row r="14" spans="1:34" x14ac:dyDescent="0.15">
      <c r="A14" s="5" t="s">
        <v>14</v>
      </c>
      <c r="B14" s="4"/>
      <c r="C14" s="4" t="s">
        <v>35</v>
      </c>
      <c r="D14" s="484">
        <f>Assumptions!D66</f>
        <v>4915.7929999999997</v>
      </c>
      <c r="E14" s="9">
        <f>PDB_Burning!R36</f>
        <v>0</v>
      </c>
      <c r="F14" s="9">
        <f>PDB_Burning!U36</f>
        <v>0</v>
      </c>
      <c r="G14" s="9">
        <f>PDB_Burning!X36</f>
        <v>0</v>
      </c>
      <c r="H14" s="9">
        <f>PDB_Burning!AA36</f>
        <v>0</v>
      </c>
      <c r="I14" s="9">
        <f>PDB_Burning!AD36</f>
        <v>0</v>
      </c>
      <c r="J14" s="97">
        <f>PDB_Burning!S36-PDB_Burning!T36</f>
        <v>0</v>
      </c>
      <c r="K14" s="97">
        <f>PDB_Burning!V36-PDB_Burning!W36</f>
        <v>0</v>
      </c>
      <c r="L14" s="97">
        <f>PDB_Burning!Y36-PDB_Burning!Z36</f>
        <v>0</v>
      </c>
      <c r="M14" s="97">
        <f>PDB_Burning!AB36-PDB_Burning!AC36</f>
        <v>0</v>
      </c>
      <c r="N14" s="97">
        <f>PDB_Burning!AE36-PDB_Burning!AF36</f>
        <v>0</v>
      </c>
      <c r="O14" s="4">
        <f>Assumptions!$E$10</f>
        <v>0.35</v>
      </c>
      <c r="P14" s="4">
        <f>Assumptions!$E$11</f>
        <v>2.2999999999999998</v>
      </c>
      <c r="Q14" s="4">
        <f>Assumptions!$E$12</f>
        <v>28</v>
      </c>
      <c r="R14" s="4">
        <f>Assumptions!$E$17</f>
        <v>0.21</v>
      </c>
      <c r="S14" s="4">
        <f>Assumptions!$E$6</f>
        <v>265</v>
      </c>
      <c r="T14" s="82">
        <f t="shared" si="1"/>
        <v>0</v>
      </c>
      <c r="U14" s="82">
        <f t="shared" si="2"/>
        <v>0</v>
      </c>
      <c r="V14" s="82">
        <f t="shared" si="3"/>
        <v>0</v>
      </c>
      <c r="W14" s="82">
        <f t="shared" si="4"/>
        <v>0</v>
      </c>
      <c r="X14" s="82">
        <f t="shared" si="5"/>
        <v>0</v>
      </c>
      <c r="Y14" s="82">
        <f t="shared" si="6"/>
        <v>0</v>
      </c>
      <c r="Z14" s="82">
        <f t="shared" si="7"/>
        <v>0</v>
      </c>
      <c r="AA14" s="82">
        <f t="shared" si="8"/>
        <v>0</v>
      </c>
      <c r="AB14" s="82">
        <f t="shared" si="9"/>
        <v>0</v>
      </c>
      <c r="AC14" s="82">
        <f t="shared" si="10"/>
        <v>0</v>
      </c>
      <c r="AD14" s="82">
        <f t="shared" si="11"/>
        <v>0</v>
      </c>
      <c r="AE14" s="82">
        <f t="shared" si="12"/>
        <v>0</v>
      </c>
      <c r="AF14" s="82">
        <f t="shared" si="13"/>
        <v>0</v>
      </c>
      <c r="AG14" s="82">
        <f t="shared" si="14"/>
        <v>0</v>
      </c>
      <c r="AH14" s="82">
        <f t="shared" si="15"/>
        <v>0</v>
      </c>
    </row>
    <row r="15" spans="1:34" x14ac:dyDescent="0.15">
      <c r="A15" s="5" t="s">
        <v>15</v>
      </c>
      <c r="B15" s="4"/>
      <c r="C15" s="4" t="s">
        <v>34</v>
      </c>
      <c r="D15" s="484">
        <f>Assumptions!D67</f>
        <v>2549.9479999999994</v>
      </c>
      <c r="E15" s="9">
        <f>PDB_Burning!R42</f>
        <v>1200</v>
      </c>
      <c r="F15" s="9">
        <f>PDB_Burning!U42</f>
        <v>1200</v>
      </c>
      <c r="G15" s="9">
        <f>PDB_Burning!X42</f>
        <v>620</v>
      </c>
      <c r="H15" s="9">
        <f>PDB_Burning!AA42</f>
        <v>1200</v>
      </c>
      <c r="I15" s="9">
        <f>PDB_Burning!AD42</f>
        <v>1200</v>
      </c>
      <c r="J15" s="97">
        <f>PDB_Burning!S42-PDB_Burning!T42</f>
        <v>0.31779999999999997</v>
      </c>
      <c r="K15" s="97">
        <f>PDB_Burning!V42-PDB_Burning!W42</f>
        <v>0.36836000000000002</v>
      </c>
      <c r="L15" s="97">
        <f>PDB_Burning!Y42-PDB_Burning!Z42</f>
        <v>0.39769463999999993</v>
      </c>
      <c r="M15" s="97">
        <f>PDB_Burning!AB42-PDB_Burning!AC42</f>
        <v>0.40928453279999999</v>
      </c>
      <c r="N15" s="97">
        <f>PDB_Burning!AE42-PDB_Burning!AF42</f>
        <v>0.41502164611999998</v>
      </c>
      <c r="O15" s="4">
        <f>Assumptions!$E$10</f>
        <v>0.35</v>
      </c>
      <c r="P15" s="4">
        <f>Assumptions!$E$11</f>
        <v>2.2999999999999998</v>
      </c>
      <c r="Q15" s="4">
        <f>Assumptions!$E$12</f>
        <v>28</v>
      </c>
      <c r="R15" s="4">
        <f>Assumptions!$E$17</f>
        <v>0.21</v>
      </c>
      <c r="S15" s="4">
        <f>Assumptions!$E$6</f>
        <v>265</v>
      </c>
      <c r="T15" s="82">
        <f t="shared" si="1"/>
        <v>8.5958543999999968</v>
      </c>
      <c r="U15" s="82">
        <f t="shared" si="2"/>
        <v>9.9634012799999976</v>
      </c>
      <c r="V15" s="82">
        <f t="shared" si="3"/>
        <v>5.5577030550719977</v>
      </c>
      <c r="W15" s="82">
        <f t="shared" si="4"/>
        <v>11.070328043174399</v>
      </c>
      <c r="X15" s="82">
        <f t="shared" si="5"/>
        <v>11.225505484253759</v>
      </c>
      <c r="Y15" s="82">
        <f t="shared" si="6"/>
        <v>7.4279393999999979</v>
      </c>
      <c r="Z15" s="82">
        <f t="shared" si="7"/>
        <v>8.6096782799999989</v>
      </c>
      <c r="AA15" s="82">
        <f t="shared" si="8"/>
        <v>4.8025803573719985</v>
      </c>
      <c r="AB15" s="82">
        <f t="shared" si="9"/>
        <v>9.5662073851343976</v>
      </c>
      <c r="AC15" s="82">
        <f t="shared" si="10"/>
        <v>9.70030093476276</v>
      </c>
      <c r="AD15" s="82">
        <f t="shared" si="11"/>
        <v>16.023793799999993</v>
      </c>
      <c r="AE15" s="82">
        <f t="shared" si="12"/>
        <v>18.573079559999996</v>
      </c>
      <c r="AF15" s="82">
        <f t="shared" si="13"/>
        <v>10.360283412443996</v>
      </c>
      <c r="AG15" s="82">
        <f t="shared" si="14"/>
        <v>20.636535428308797</v>
      </c>
      <c r="AH15" s="82">
        <f t="shared" si="15"/>
        <v>20.925806419016517</v>
      </c>
    </row>
    <row r="16" spans="1:34" x14ac:dyDescent="0.15">
      <c r="A16" s="5" t="s">
        <v>16</v>
      </c>
      <c r="B16" s="4"/>
      <c r="C16" s="4" t="s">
        <v>36</v>
      </c>
      <c r="D16" s="484">
        <f>Assumptions!D68</f>
        <v>741.26900000000001</v>
      </c>
      <c r="E16" s="9">
        <f>PDB_Burning!R46</f>
        <v>231.14</v>
      </c>
      <c r="F16" s="9">
        <f>PDB_Burning!U46</f>
        <v>231.14</v>
      </c>
      <c r="G16" s="9">
        <f>PDB_Burning!X46</f>
        <v>231.14</v>
      </c>
      <c r="H16" s="9">
        <f>PDB_Burning!AA46</f>
        <v>231.14</v>
      </c>
      <c r="I16" s="9">
        <f>PDB_Burning!AD46</f>
        <v>231.14</v>
      </c>
      <c r="J16" s="97">
        <f>PDB_Burning!S46-PDB_Burning!T46</f>
        <v>0.32066666666666666</v>
      </c>
      <c r="K16" s="97">
        <f>PDB_Burning!V46-PDB_Burning!W46</f>
        <v>0.3666666666666667</v>
      </c>
      <c r="L16" s="97">
        <f>PDB_Burning!Y46-PDB_Burning!Z46</f>
        <v>0.39333333333333331</v>
      </c>
      <c r="M16" s="97">
        <f>PDB_Burning!AB46-PDB_Burning!AC46</f>
        <v>0.40766666666666662</v>
      </c>
      <c r="N16" s="97">
        <f>PDB_Burning!AE46-PDB_Burning!AF46</f>
        <v>0.40836941019999995</v>
      </c>
      <c r="O16" s="4">
        <f>Assumptions!$E$10</f>
        <v>0.35</v>
      </c>
      <c r="P16" s="4">
        <f>Assumptions!$E$11</f>
        <v>2.2999999999999998</v>
      </c>
      <c r="Q16" s="4">
        <f>Assumptions!$E$12</f>
        <v>28</v>
      </c>
      <c r="R16" s="4">
        <f>Assumptions!$E$17</f>
        <v>0.21</v>
      </c>
      <c r="S16" s="4">
        <f>Assumptions!$E$6</f>
        <v>265</v>
      </c>
      <c r="T16" s="82">
        <f t="shared" si="1"/>
        <v>1.6706398557333331</v>
      </c>
      <c r="U16" s="82">
        <f t="shared" si="2"/>
        <v>1.9102950533333334</v>
      </c>
      <c r="V16" s="82">
        <f t="shared" si="3"/>
        <v>2.0492256026666662</v>
      </c>
      <c r="W16" s="82">
        <f t="shared" si="4"/>
        <v>2.1239007729333323</v>
      </c>
      <c r="X16" s="82">
        <f t="shared" si="5"/>
        <v>2.1275619933755743</v>
      </c>
      <c r="Y16" s="82">
        <f t="shared" si="6"/>
        <v>1.4436507448999996</v>
      </c>
      <c r="Z16" s="82">
        <f t="shared" si="7"/>
        <v>1.6507440949999999</v>
      </c>
      <c r="AA16" s="82">
        <f t="shared" si="8"/>
        <v>1.7707982109999998</v>
      </c>
      <c r="AB16" s="82">
        <f t="shared" si="9"/>
        <v>1.8353272983499993</v>
      </c>
      <c r="AC16" s="82">
        <f t="shared" si="10"/>
        <v>1.8384910703625887</v>
      </c>
      <c r="AD16" s="82">
        <f t="shared" si="11"/>
        <v>3.1142906006333329</v>
      </c>
      <c r="AE16" s="82">
        <f t="shared" si="12"/>
        <v>3.5610391483333332</v>
      </c>
      <c r="AF16" s="82">
        <f t="shared" si="13"/>
        <v>3.820023813666666</v>
      </c>
      <c r="AG16" s="82">
        <f t="shared" si="14"/>
        <v>3.9592280712833317</v>
      </c>
      <c r="AH16" s="82">
        <f t="shared" si="15"/>
        <v>3.9660530637381628</v>
      </c>
    </row>
    <row r="17" spans="1:34" x14ac:dyDescent="0.15">
      <c r="A17" s="5" t="s">
        <v>17</v>
      </c>
      <c r="B17" s="4"/>
      <c r="C17" s="4" t="s">
        <v>35</v>
      </c>
      <c r="D17" s="484">
        <f>Assumptions!D69</f>
        <v>8643.7000000000025</v>
      </c>
      <c r="E17" s="9">
        <f>PDB_Burning!R55</f>
        <v>0</v>
      </c>
      <c r="F17" s="9">
        <f>PDB_Burning!U55</f>
        <v>0</v>
      </c>
      <c r="G17" s="9">
        <f>PDB_Burning!X55</f>
        <v>0</v>
      </c>
      <c r="H17" s="9">
        <f>PDB_Burning!AA55</f>
        <v>1718.41</v>
      </c>
      <c r="I17" s="9">
        <f>PDB_Burning!AD55</f>
        <v>0</v>
      </c>
      <c r="J17" s="97">
        <f>PDB_Burning!S55-PDB_Burning!T55</f>
        <v>0</v>
      </c>
      <c r="K17" s="97">
        <f>PDB_Burning!V55-PDB_Burning!W55</f>
        <v>0</v>
      </c>
      <c r="L17" s="97">
        <f>PDB_Burning!Y55-PDB_Burning!Z55</f>
        <v>0</v>
      </c>
      <c r="M17" s="97">
        <f>PDB_Burning!AB55-PDB_Burning!AC55</f>
        <v>0.40914285714285725</v>
      </c>
      <c r="N17" s="97">
        <f>PDB_Burning!AE55-PDB_Burning!AF55</f>
        <v>0</v>
      </c>
      <c r="O17" s="4">
        <f>Assumptions!$E$10</f>
        <v>0.35</v>
      </c>
      <c r="P17" s="4">
        <f>Assumptions!$E$11</f>
        <v>2.2999999999999998</v>
      </c>
      <c r="Q17" s="4">
        <f>Assumptions!$E$12</f>
        <v>28</v>
      </c>
      <c r="R17" s="4">
        <f>Assumptions!$E$17</f>
        <v>0.21</v>
      </c>
      <c r="S17" s="4">
        <f>Assumptions!$E$6</f>
        <v>265</v>
      </c>
      <c r="T17" s="82">
        <f t="shared" si="1"/>
        <v>0</v>
      </c>
      <c r="U17" s="82">
        <f t="shared" si="2"/>
        <v>0</v>
      </c>
      <c r="V17" s="82">
        <f t="shared" si="3"/>
        <v>0</v>
      </c>
      <c r="W17" s="82">
        <f t="shared" si="4"/>
        <v>15.847314492800004</v>
      </c>
      <c r="X17" s="82">
        <f t="shared" si="5"/>
        <v>0</v>
      </c>
      <c r="Y17" s="82">
        <f t="shared" si="6"/>
        <v>0</v>
      </c>
      <c r="Z17" s="82">
        <f t="shared" si="7"/>
        <v>0</v>
      </c>
      <c r="AA17" s="82">
        <f t="shared" si="8"/>
        <v>0</v>
      </c>
      <c r="AB17" s="82">
        <f t="shared" si="9"/>
        <v>13.694146762800003</v>
      </c>
      <c r="AC17" s="82">
        <f t="shared" si="10"/>
        <v>0</v>
      </c>
      <c r="AD17" s="82">
        <f t="shared" si="11"/>
        <v>0</v>
      </c>
      <c r="AE17" s="82">
        <f t="shared" si="12"/>
        <v>0</v>
      </c>
      <c r="AF17" s="82">
        <f t="shared" si="13"/>
        <v>0</v>
      </c>
      <c r="AG17" s="82">
        <f t="shared" si="14"/>
        <v>29.541461255600005</v>
      </c>
      <c r="AH17" s="82">
        <f t="shared" si="15"/>
        <v>0</v>
      </c>
    </row>
    <row r="18" spans="1:34" x14ac:dyDescent="0.15">
      <c r="A18" s="5" t="s">
        <v>18</v>
      </c>
      <c r="B18" s="4"/>
      <c r="C18" s="4" t="s">
        <v>35</v>
      </c>
      <c r="D18" s="484">
        <f>Assumptions!D70</f>
        <v>2860.4270000000001</v>
      </c>
      <c r="E18" s="9">
        <f>PDB_Burning!R60</f>
        <v>0</v>
      </c>
      <c r="F18" s="9">
        <f>PDB_Burning!U60</f>
        <v>0</v>
      </c>
      <c r="G18" s="9">
        <f>PDB_Burning!X60</f>
        <v>0</v>
      </c>
      <c r="H18" s="9">
        <f>PDB_Burning!AA60</f>
        <v>0</v>
      </c>
      <c r="I18" s="9">
        <f>PDB_Burning!AD60</f>
        <v>0</v>
      </c>
      <c r="J18" s="97">
        <f>PDB_Burning!S60-PDB_Burning!T60</f>
        <v>0</v>
      </c>
      <c r="K18" s="97">
        <f>PDB_Burning!V60-PDB_Burning!W60</f>
        <v>0</v>
      </c>
      <c r="L18" s="97">
        <f>PDB_Burning!Y60-PDB_Burning!Z60</f>
        <v>0</v>
      </c>
      <c r="M18" s="97">
        <f>PDB_Burning!AB60-PDB_Burning!AC60</f>
        <v>0</v>
      </c>
      <c r="N18" s="97">
        <f>PDB_Burning!AE60-PDB_Burning!AF60</f>
        <v>0</v>
      </c>
      <c r="O18" s="4">
        <f>Assumptions!$E$10</f>
        <v>0.35</v>
      </c>
      <c r="P18" s="4">
        <f>Assumptions!$E$11</f>
        <v>2.2999999999999998</v>
      </c>
      <c r="Q18" s="4">
        <f>Assumptions!$E$12</f>
        <v>28</v>
      </c>
      <c r="R18" s="4">
        <f>Assumptions!$E$17</f>
        <v>0.21</v>
      </c>
      <c r="S18" s="4">
        <f>Assumptions!$E$6</f>
        <v>265</v>
      </c>
      <c r="T18" s="82">
        <f t="shared" si="1"/>
        <v>0</v>
      </c>
      <c r="U18" s="82">
        <f t="shared" si="2"/>
        <v>0</v>
      </c>
      <c r="V18" s="82">
        <f t="shared" si="3"/>
        <v>0</v>
      </c>
      <c r="W18" s="82">
        <f t="shared" si="4"/>
        <v>0</v>
      </c>
      <c r="X18" s="82">
        <f t="shared" si="5"/>
        <v>0</v>
      </c>
      <c r="Y18" s="82">
        <f t="shared" si="6"/>
        <v>0</v>
      </c>
      <c r="Z18" s="82">
        <f t="shared" si="7"/>
        <v>0</v>
      </c>
      <c r="AA18" s="82">
        <f t="shared" si="8"/>
        <v>0</v>
      </c>
      <c r="AB18" s="82">
        <f t="shared" si="9"/>
        <v>0</v>
      </c>
      <c r="AC18" s="82">
        <f t="shared" si="10"/>
        <v>0</v>
      </c>
      <c r="AD18" s="82">
        <f t="shared" si="11"/>
        <v>0</v>
      </c>
      <c r="AE18" s="82">
        <f t="shared" si="12"/>
        <v>0</v>
      </c>
      <c r="AF18" s="82">
        <f t="shared" si="13"/>
        <v>0</v>
      </c>
      <c r="AG18" s="82">
        <f t="shared" si="14"/>
        <v>0</v>
      </c>
      <c r="AH18" s="82">
        <f t="shared" si="15"/>
        <v>0</v>
      </c>
    </row>
    <row r="19" spans="1:34" x14ac:dyDescent="0.15">
      <c r="A19" s="5" t="s">
        <v>19</v>
      </c>
      <c r="B19" s="4"/>
      <c r="C19" s="4" t="s">
        <v>35</v>
      </c>
      <c r="D19" s="484">
        <f>Assumptions!D71</f>
        <v>9034.3230000000021</v>
      </c>
      <c r="E19" s="9">
        <f>PDB_Burning!R73</f>
        <v>0</v>
      </c>
      <c r="F19" s="9">
        <f>PDB_Burning!U73</f>
        <v>2157.4699999999998</v>
      </c>
      <c r="G19" s="9">
        <f>PDB_Burning!X73</f>
        <v>0</v>
      </c>
      <c r="H19" s="9">
        <f>PDB_Burning!AA73</f>
        <v>0</v>
      </c>
      <c r="I19" s="9">
        <f>PDB_Burning!AD73</f>
        <v>0</v>
      </c>
      <c r="J19" s="97">
        <f>PDB_Burning!S73-PDB_Burning!T73</f>
        <v>0</v>
      </c>
      <c r="K19" s="97">
        <f>PDB_Burning!V73-PDB_Burning!W73</f>
        <v>0.36991666666666667</v>
      </c>
      <c r="L19" s="97">
        <f>PDB_Burning!Y73-PDB_Burning!Z73</f>
        <v>0</v>
      </c>
      <c r="M19" s="97">
        <f>PDB_Burning!AB73-PDB_Burning!AC73</f>
        <v>0</v>
      </c>
      <c r="N19" s="97">
        <f>PDB_Burning!AE73-PDB_Burning!AF73</f>
        <v>0</v>
      </c>
      <c r="O19" s="4">
        <f>Assumptions!$E$10</f>
        <v>0.35</v>
      </c>
      <c r="P19" s="4">
        <f>Assumptions!$E$11</f>
        <v>2.2999999999999998</v>
      </c>
      <c r="Q19" s="4">
        <f>Assumptions!$E$12</f>
        <v>28</v>
      </c>
      <c r="R19" s="4">
        <f>Assumptions!$E$17</f>
        <v>0.21</v>
      </c>
      <c r="S19" s="4">
        <f>Assumptions!$E$6</f>
        <v>265</v>
      </c>
      <c r="T19" s="82">
        <f t="shared" si="1"/>
        <v>0</v>
      </c>
      <c r="U19" s="82">
        <f t="shared" si="2"/>
        <v>17.98881585818333</v>
      </c>
      <c r="V19" s="82">
        <f t="shared" si="3"/>
        <v>0</v>
      </c>
      <c r="W19" s="82">
        <f t="shared" si="4"/>
        <v>0</v>
      </c>
      <c r="X19" s="82">
        <f t="shared" si="5"/>
        <v>0</v>
      </c>
      <c r="Y19" s="82">
        <f t="shared" si="6"/>
        <v>0</v>
      </c>
      <c r="Z19" s="82">
        <f t="shared" si="7"/>
        <v>15.544683268756247</v>
      </c>
      <c r="AA19" s="82">
        <f t="shared" si="8"/>
        <v>0</v>
      </c>
      <c r="AB19" s="82">
        <f t="shared" si="9"/>
        <v>0</v>
      </c>
      <c r="AC19" s="82">
        <f t="shared" si="10"/>
        <v>0</v>
      </c>
      <c r="AD19" s="82">
        <f t="shared" si="11"/>
        <v>0</v>
      </c>
      <c r="AE19" s="82">
        <f t="shared" si="12"/>
        <v>33.533499126939574</v>
      </c>
      <c r="AF19" s="82">
        <f t="shared" si="13"/>
        <v>0</v>
      </c>
      <c r="AG19" s="82">
        <f t="shared" si="14"/>
        <v>0</v>
      </c>
      <c r="AH19" s="82">
        <f t="shared" si="15"/>
        <v>0</v>
      </c>
    </row>
    <row r="20" spans="1:34" x14ac:dyDescent="0.15">
      <c r="A20" s="5" t="s">
        <v>20</v>
      </c>
      <c r="B20" s="4"/>
      <c r="C20" s="4" t="s">
        <v>37</v>
      </c>
      <c r="D20" s="484">
        <f>Assumptions!D72</f>
        <v>2315.3180000000002</v>
      </c>
      <c r="E20" s="9">
        <f>PDB_Burning!R78</f>
        <v>792</v>
      </c>
      <c r="F20" s="9">
        <f>PDB_Burning!U78</f>
        <v>792</v>
      </c>
      <c r="G20" s="9">
        <f>PDB_Burning!X78</f>
        <v>792</v>
      </c>
      <c r="H20" s="9">
        <f>PDB_Burning!AA78</f>
        <v>792</v>
      </c>
      <c r="I20" s="9">
        <f>PDB_Burning!AD78</f>
        <v>792</v>
      </c>
      <c r="J20" s="97">
        <f>PDB_Burning!S78-PDB_Burning!T78</f>
        <v>0.32650000000000001</v>
      </c>
      <c r="K20" s="97">
        <f>PDB_Burning!V78-PDB_Burning!W78</f>
        <v>0.36150000000000004</v>
      </c>
      <c r="L20" s="97">
        <f>PDB_Burning!Y78-PDB_Burning!Z78</f>
        <v>0.38475000000000004</v>
      </c>
      <c r="M20" s="97">
        <f>PDB_Burning!AB78-PDB_Burning!AC78</f>
        <v>0.39950000000000008</v>
      </c>
      <c r="N20" s="97">
        <f>PDB_Burning!AE78-PDB_Burning!AF78</f>
        <v>0.40475000000000005</v>
      </c>
      <c r="O20" s="4">
        <f>Assumptions!$E$10</f>
        <v>0.35</v>
      </c>
      <c r="P20" s="4">
        <f>Assumptions!$E$11</f>
        <v>2.2999999999999998</v>
      </c>
      <c r="Q20" s="4">
        <f>Assumptions!$E$12</f>
        <v>28</v>
      </c>
      <c r="R20" s="4">
        <f>Assumptions!$E$17</f>
        <v>0.21</v>
      </c>
      <c r="S20" s="4">
        <f>Assumptions!$E$6</f>
        <v>265</v>
      </c>
      <c r="T20" s="82">
        <f t="shared" si="1"/>
        <v>5.82857352</v>
      </c>
      <c r="U20" s="82">
        <f t="shared" si="2"/>
        <v>6.4533823199999993</v>
      </c>
      <c r="V20" s="82">
        <f t="shared" si="3"/>
        <v>6.8684338799999995</v>
      </c>
      <c r="W20" s="82">
        <f t="shared" si="4"/>
        <v>7.1317461599999996</v>
      </c>
      <c r="X20" s="82">
        <f t="shared" si="5"/>
        <v>7.2254674799999998</v>
      </c>
      <c r="Y20" s="82">
        <f t="shared" si="6"/>
        <v>5.0366477700000001</v>
      </c>
      <c r="Z20" s="82">
        <f t="shared" si="7"/>
        <v>5.5765640700000008</v>
      </c>
      <c r="AA20" s="82">
        <f t="shared" si="8"/>
        <v>5.9352227549999999</v>
      </c>
      <c r="AB20" s="82">
        <f t="shared" si="9"/>
        <v>6.1627589100000009</v>
      </c>
      <c r="AC20" s="82">
        <f t="shared" si="10"/>
        <v>6.2437463550000007</v>
      </c>
      <c r="AD20" s="82">
        <f t="shared" si="11"/>
        <v>10.865221290000001</v>
      </c>
      <c r="AE20" s="82">
        <f t="shared" si="12"/>
        <v>12.029946389999999</v>
      </c>
      <c r="AF20" s="82">
        <f t="shared" si="13"/>
        <v>12.803656634999999</v>
      </c>
      <c r="AG20" s="82">
        <f t="shared" si="14"/>
        <v>13.29450507</v>
      </c>
      <c r="AH20" s="82">
        <f t="shared" si="15"/>
        <v>13.469213835000001</v>
      </c>
    </row>
    <row r="21" spans="1:34" x14ac:dyDescent="0.15">
      <c r="A21" s="5" t="s">
        <v>21</v>
      </c>
      <c r="B21" s="4"/>
      <c r="C21" s="4" t="s">
        <v>35</v>
      </c>
      <c r="D21" s="484">
        <f>Assumptions!D73</f>
        <v>5717.201</v>
      </c>
      <c r="E21" s="9">
        <f>PDB_Burning!R85</f>
        <v>0</v>
      </c>
      <c r="F21" s="9">
        <f>PDB_Burning!U85</f>
        <v>0</v>
      </c>
      <c r="G21" s="9">
        <f>PDB_Burning!X85</f>
        <v>0</v>
      </c>
      <c r="H21" s="9">
        <f>PDB_Burning!AA85</f>
        <v>0</v>
      </c>
      <c r="I21" s="9">
        <f>PDB_Burning!AD85</f>
        <v>0</v>
      </c>
      <c r="J21" s="97">
        <f>PDB_Burning!S85-PDB_Burning!T85</f>
        <v>0</v>
      </c>
      <c r="K21" s="97">
        <f>PDB_Burning!V85-PDB_Burning!W85</f>
        <v>0</v>
      </c>
      <c r="L21" s="97">
        <f>PDB_Burning!Y85-PDB_Burning!Z85</f>
        <v>0</v>
      </c>
      <c r="M21" s="97">
        <f>PDB_Burning!AB85-PDB_Burning!AC85</f>
        <v>0</v>
      </c>
      <c r="N21" s="97">
        <f>PDB_Burning!AE85-PDB_Burning!AF85</f>
        <v>0</v>
      </c>
      <c r="O21" s="4">
        <f>Assumptions!$E$10</f>
        <v>0.35</v>
      </c>
      <c r="P21" s="4">
        <f>Assumptions!$E$11</f>
        <v>2.2999999999999998</v>
      </c>
      <c r="Q21" s="4">
        <f>Assumptions!$E$12</f>
        <v>28</v>
      </c>
      <c r="R21" s="4">
        <f>Assumptions!$E$17</f>
        <v>0.21</v>
      </c>
      <c r="S21" s="4">
        <f>Assumptions!$E$6</f>
        <v>265</v>
      </c>
      <c r="T21" s="82">
        <f t="shared" si="1"/>
        <v>0</v>
      </c>
      <c r="U21" s="82">
        <f t="shared" si="2"/>
        <v>0</v>
      </c>
      <c r="V21" s="82">
        <f t="shared" si="3"/>
        <v>0</v>
      </c>
      <c r="W21" s="82">
        <f t="shared" si="4"/>
        <v>0</v>
      </c>
      <c r="X21" s="82">
        <f t="shared" si="5"/>
        <v>0</v>
      </c>
      <c r="Y21" s="82">
        <f t="shared" si="6"/>
        <v>0</v>
      </c>
      <c r="Z21" s="82">
        <f t="shared" si="7"/>
        <v>0</v>
      </c>
      <c r="AA21" s="82">
        <f t="shared" si="8"/>
        <v>0</v>
      </c>
      <c r="AB21" s="82">
        <f t="shared" si="9"/>
        <v>0</v>
      </c>
      <c r="AC21" s="82">
        <f t="shared" si="10"/>
        <v>0</v>
      </c>
      <c r="AD21" s="82">
        <f t="shared" si="11"/>
        <v>0</v>
      </c>
      <c r="AE21" s="82">
        <f t="shared" si="12"/>
        <v>0</v>
      </c>
      <c r="AF21" s="82">
        <f t="shared" si="13"/>
        <v>0</v>
      </c>
      <c r="AG21" s="82">
        <f t="shared" si="14"/>
        <v>0</v>
      </c>
      <c r="AH21" s="82">
        <f t="shared" si="15"/>
        <v>0</v>
      </c>
    </row>
    <row r="22" spans="1:34" x14ac:dyDescent="0.15">
      <c r="A22" s="5" t="s">
        <v>22</v>
      </c>
      <c r="B22" s="4"/>
      <c r="C22" s="4" t="s">
        <v>35</v>
      </c>
      <c r="D22" s="484">
        <f>Assumptions!D74</f>
        <v>3768.0449999999996</v>
      </c>
      <c r="E22" s="9">
        <f>PDB_Burning!R90</f>
        <v>0</v>
      </c>
      <c r="F22" s="9">
        <f>PDB_Burning!U90</f>
        <v>0</v>
      </c>
      <c r="G22" s="9">
        <f>PDB_Burning!X90</f>
        <v>0</v>
      </c>
      <c r="H22" s="9">
        <f>PDB_Burning!AA90</f>
        <v>0</v>
      </c>
      <c r="I22" s="9">
        <f>PDB_Burning!AD90</f>
        <v>0</v>
      </c>
      <c r="J22" s="97">
        <f>PDB_Burning!S90-PDB_Burning!T90</f>
        <v>0</v>
      </c>
      <c r="K22" s="97">
        <f>PDB_Burning!V90-PDB_Burning!W90</f>
        <v>0</v>
      </c>
      <c r="L22" s="97">
        <f>PDB_Burning!Y90-PDB_Burning!Z90</f>
        <v>0</v>
      </c>
      <c r="M22" s="97">
        <f>PDB_Burning!AB90-PDB_Burning!AC90</f>
        <v>0</v>
      </c>
      <c r="N22" s="97">
        <f>PDB_Burning!AE90-PDB_Burning!AF90</f>
        <v>0</v>
      </c>
      <c r="O22" s="4">
        <f>Assumptions!$E$10</f>
        <v>0.35</v>
      </c>
      <c r="P22" s="4">
        <f>Assumptions!$E$11</f>
        <v>2.2999999999999998</v>
      </c>
      <c r="Q22" s="4">
        <f>Assumptions!$E$12</f>
        <v>28</v>
      </c>
      <c r="R22" s="4">
        <f>Assumptions!$E$17</f>
        <v>0.21</v>
      </c>
      <c r="S22" s="4">
        <f>Assumptions!$E$6</f>
        <v>265</v>
      </c>
      <c r="T22" s="82">
        <f t="shared" si="1"/>
        <v>0</v>
      </c>
      <c r="U22" s="82">
        <f t="shared" si="2"/>
        <v>0</v>
      </c>
      <c r="V22" s="82">
        <f t="shared" si="3"/>
        <v>0</v>
      </c>
      <c r="W22" s="82">
        <f t="shared" si="4"/>
        <v>0</v>
      </c>
      <c r="X22" s="82">
        <f t="shared" si="5"/>
        <v>0</v>
      </c>
      <c r="Y22" s="82">
        <f t="shared" si="6"/>
        <v>0</v>
      </c>
      <c r="Z22" s="82">
        <f t="shared" si="7"/>
        <v>0</v>
      </c>
      <c r="AA22" s="82">
        <f t="shared" si="8"/>
        <v>0</v>
      </c>
      <c r="AB22" s="82">
        <f t="shared" si="9"/>
        <v>0</v>
      </c>
      <c r="AC22" s="82">
        <f t="shared" si="10"/>
        <v>0</v>
      </c>
      <c r="AD22" s="82">
        <f t="shared" si="11"/>
        <v>0</v>
      </c>
      <c r="AE22" s="82">
        <f t="shared" si="12"/>
        <v>0</v>
      </c>
      <c r="AF22" s="82">
        <f t="shared" si="13"/>
        <v>0</v>
      </c>
      <c r="AG22" s="82">
        <f t="shared" si="14"/>
        <v>0</v>
      </c>
      <c r="AH22" s="82">
        <f t="shared" si="15"/>
        <v>0</v>
      </c>
    </row>
    <row r="23" spans="1:34" x14ac:dyDescent="0.15">
      <c r="A23" s="5" t="s">
        <v>23</v>
      </c>
      <c r="B23" s="4"/>
      <c r="C23" s="4" t="s">
        <v>34</v>
      </c>
      <c r="D23" s="484">
        <f>Assumptions!D75</f>
        <v>236.66199999999998</v>
      </c>
      <c r="E23" s="9">
        <f>PDB_Burning!R94</f>
        <v>0</v>
      </c>
      <c r="F23" s="9">
        <f>PDB_Burning!U94</f>
        <v>0</v>
      </c>
      <c r="G23" s="9">
        <f>PDB_Burning!X94</f>
        <v>0</v>
      </c>
      <c r="H23" s="9">
        <f>PDB_Burning!AA94</f>
        <v>0</v>
      </c>
      <c r="I23" s="9">
        <f>PDB_Burning!AD94</f>
        <v>0</v>
      </c>
      <c r="J23" s="97">
        <f>PDB_Burning!S94-PDB_Burning!T94</f>
        <v>0</v>
      </c>
      <c r="K23" s="97">
        <f>PDB_Burning!V94-PDB_Burning!W94</f>
        <v>0</v>
      </c>
      <c r="L23" s="97">
        <f>PDB_Burning!Y94-PDB_Burning!Z94</f>
        <v>0</v>
      </c>
      <c r="M23" s="97">
        <f>PDB_Burning!AB94-PDB_Burning!AC94</f>
        <v>0</v>
      </c>
      <c r="N23" s="97">
        <f>PDB_Burning!AE94-PDB_Burning!AF94</f>
        <v>0</v>
      </c>
      <c r="O23" s="4">
        <f>Assumptions!$E$10</f>
        <v>0.35</v>
      </c>
      <c r="P23" s="4">
        <f>Assumptions!$E$11</f>
        <v>2.2999999999999998</v>
      </c>
      <c r="Q23" s="4">
        <f>Assumptions!$E$12</f>
        <v>28</v>
      </c>
      <c r="R23" s="4">
        <f>Assumptions!$E$17</f>
        <v>0.21</v>
      </c>
      <c r="S23" s="4">
        <f>Assumptions!$E$6</f>
        <v>265</v>
      </c>
      <c r="T23" s="82">
        <f t="shared" si="1"/>
        <v>0</v>
      </c>
      <c r="U23" s="82">
        <f t="shared" si="2"/>
        <v>0</v>
      </c>
      <c r="V23" s="82">
        <f t="shared" si="3"/>
        <v>0</v>
      </c>
      <c r="W23" s="82">
        <f t="shared" si="4"/>
        <v>0</v>
      </c>
      <c r="X23" s="82">
        <f t="shared" si="5"/>
        <v>0</v>
      </c>
      <c r="Y23" s="82">
        <f t="shared" si="6"/>
        <v>0</v>
      </c>
      <c r="Z23" s="82">
        <f t="shared" si="7"/>
        <v>0</v>
      </c>
      <c r="AA23" s="82">
        <f t="shared" si="8"/>
        <v>0</v>
      </c>
      <c r="AB23" s="82">
        <f t="shared" si="9"/>
        <v>0</v>
      </c>
      <c r="AC23" s="82">
        <f t="shared" si="10"/>
        <v>0</v>
      </c>
      <c r="AD23" s="82">
        <f t="shared" si="11"/>
        <v>0</v>
      </c>
      <c r="AE23" s="82">
        <f t="shared" si="12"/>
        <v>0</v>
      </c>
      <c r="AF23" s="82">
        <f t="shared" si="13"/>
        <v>0</v>
      </c>
      <c r="AG23" s="82">
        <f t="shared" si="14"/>
        <v>0</v>
      </c>
      <c r="AH23" s="82">
        <f t="shared" si="15"/>
        <v>0</v>
      </c>
    </row>
    <row r="24" spans="1:34" x14ac:dyDescent="0.15">
      <c r="A24" s="5" t="s">
        <v>24</v>
      </c>
      <c r="B24" s="4"/>
      <c r="C24" s="4" t="s">
        <v>35</v>
      </c>
      <c r="D24" s="484">
        <f>Assumptions!D76</f>
        <v>6640.8160000000016</v>
      </c>
      <c r="E24" s="9">
        <f>PDB_Burning!R100</f>
        <v>0</v>
      </c>
      <c r="F24" s="9">
        <f>PDB_Burning!U100</f>
        <v>0</v>
      </c>
      <c r="G24" s="9">
        <f>PDB_Burning!X100</f>
        <v>0</v>
      </c>
      <c r="H24" s="9">
        <f>PDB_Burning!AA100</f>
        <v>0</v>
      </c>
      <c r="I24" s="9">
        <f>PDB_Burning!AD100</f>
        <v>0</v>
      </c>
      <c r="J24" s="97">
        <f>PDB_Burning!S100-PDB_Burning!T100</f>
        <v>0</v>
      </c>
      <c r="K24" s="97">
        <f>PDB_Burning!V100-PDB_Burning!W100</f>
        <v>0</v>
      </c>
      <c r="L24" s="97">
        <f>PDB_Burning!Y100-PDB_Burning!Z100</f>
        <v>0</v>
      </c>
      <c r="M24" s="97">
        <f>PDB_Burning!AB100-PDB_Burning!AC100</f>
        <v>0</v>
      </c>
      <c r="N24" s="97">
        <f>PDB_Burning!AE100-PDB_Burning!AF100</f>
        <v>0</v>
      </c>
      <c r="O24" s="4">
        <f>Assumptions!$E$10</f>
        <v>0.35</v>
      </c>
      <c r="P24" s="4">
        <f>Assumptions!$E$11</f>
        <v>2.2999999999999998</v>
      </c>
      <c r="Q24" s="4">
        <f>Assumptions!$E$12</f>
        <v>28</v>
      </c>
      <c r="R24" s="4">
        <f>Assumptions!$E$17</f>
        <v>0.21</v>
      </c>
      <c r="S24" s="4">
        <f>Assumptions!$E$6</f>
        <v>265</v>
      </c>
      <c r="T24" s="82">
        <f t="shared" si="1"/>
        <v>0</v>
      </c>
      <c r="U24" s="82">
        <f t="shared" si="2"/>
        <v>0</v>
      </c>
      <c r="V24" s="82">
        <f t="shared" si="3"/>
        <v>0</v>
      </c>
      <c r="W24" s="82">
        <f t="shared" si="4"/>
        <v>0</v>
      </c>
      <c r="X24" s="82">
        <f t="shared" si="5"/>
        <v>0</v>
      </c>
      <c r="Y24" s="82">
        <f t="shared" si="6"/>
        <v>0</v>
      </c>
      <c r="Z24" s="82">
        <f t="shared" si="7"/>
        <v>0</v>
      </c>
      <c r="AA24" s="82">
        <f t="shared" si="8"/>
        <v>0</v>
      </c>
      <c r="AB24" s="82">
        <f t="shared" si="9"/>
        <v>0</v>
      </c>
      <c r="AC24" s="82">
        <f t="shared" si="10"/>
        <v>0</v>
      </c>
      <c r="AD24" s="82">
        <f t="shared" si="11"/>
        <v>0</v>
      </c>
      <c r="AE24" s="82">
        <f t="shared" si="12"/>
        <v>0</v>
      </c>
      <c r="AF24" s="82">
        <f t="shared" si="13"/>
        <v>0</v>
      </c>
      <c r="AG24" s="82">
        <f t="shared" si="14"/>
        <v>0</v>
      </c>
      <c r="AH24" s="82">
        <f t="shared" si="15"/>
        <v>0</v>
      </c>
    </row>
    <row r="25" spans="1:34" x14ac:dyDescent="0.15">
      <c r="A25" s="5" t="s">
        <v>25</v>
      </c>
      <c r="B25" s="4"/>
      <c r="C25" s="4" t="s">
        <v>36</v>
      </c>
      <c r="D25" s="484">
        <f>Assumptions!D77</f>
        <v>837.08299999999997</v>
      </c>
      <c r="E25" s="9">
        <f>PDB_Burning!R105</f>
        <v>0</v>
      </c>
      <c r="F25" s="9">
        <f>PDB_Burning!U105</f>
        <v>0</v>
      </c>
      <c r="G25" s="9">
        <f>PDB_Burning!X105</f>
        <v>0</v>
      </c>
      <c r="H25" s="9">
        <f>PDB_Burning!AA105</f>
        <v>0</v>
      </c>
      <c r="I25" s="9">
        <f>PDB_Burning!AD105</f>
        <v>143.88999999999999</v>
      </c>
      <c r="J25" s="97">
        <f>PDB_Burning!S105-PDB_Burning!T2105</f>
        <v>0</v>
      </c>
      <c r="K25" s="97">
        <f>PDB_Burning!V105-PDB_Burning!W105</f>
        <v>0</v>
      </c>
      <c r="L25" s="97">
        <f>PDB_Burning!Y105-PDB_Burning!Z105</f>
        <v>0</v>
      </c>
      <c r="M25" s="97">
        <f>PDB_Burning!AB105-PDB_Burning!AC105</f>
        <v>0</v>
      </c>
      <c r="N25" s="97">
        <f>PDB_Burning!AE105-PDB_Burning!AF105</f>
        <v>0.41477705765000006</v>
      </c>
      <c r="O25" s="4">
        <f>Assumptions!$E$10</f>
        <v>0.35</v>
      </c>
      <c r="P25" s="4">
        <f>Assumptions!$E$11</f>
        <v>2.2999999999999998</v>
      </c>
      <c r="Q25" s="4">
        <f>Assumptions!$E$12</f>
        <v>28</v>
      </c>
      <c r="R25" s="4">
        <f>Assumptions!$E$17</f>
        <v>0.21</v>
      </c>
      <c r="S25" s="4">
        <f>Assumptions!$E$6</f>
        <v>265</v>
      </c>
      <c r="T25" s="82">
        <f t="shared" si="1"/>
        <v>0</v>
      </c>
      <c r="U25" s="82">
        <f t="shared" si="2"/>
        <v>0</v>
      </c>
      <c r="V25" s="82">
        <f t="shared" si="3"/>
        <v>0</v>
      </c>
      <c r="W25" s="82">
        <f t="shared" si="4"/>
        <v>0</v>
      </c>
      <c r="X25" s="82">
        <f t="shared" si="5"/>
        <v>1.3452383844013263</v>
      </c>
      <c r="Y25" s="82">
        <f t="shared" si="6"/>
        <v>0</v>
      </c>
      <c r="Z25" s="82">
        <f t="shared" si="7"/>
        <v>0</v>
      </c>
      <c r="AA25" s="82">
        <f t="shared" si="8"/>
        <v>0</v>
      </c>
      <c r="AB25" s="82">
        <f t="shared" si="9"/>
        <v>0</v>
      </c>
      <c r="AC25" s="82">
        <f t="shared" si="10"/>
        <v>1.1624614299989726</v>
      </c>
      <c r="AD25" s="82">
        <f t="shared" si="11"/>
        <v>0</v>
      </c>
      <c r="AE25" s="82">
        <f t="shared" si="12"/>
        <v>0</v>
      </c>
      <c r="AF25" s="82">
        <f t="shared" si="13"/>
        <v>0</v>
      </c>
      <c r="AG25" s="82">
        <f t="shared" si="14"/>
        <v>0</v>
      </c>
      <c r="AH25" s="82">
        <f t="shared" si="15"/>
        <v>2.5076998144002989</v>
      </c>
    </row>
    <row r="26" spans="1:34" x14ac:dyDescent="0.15">
      <c r="A26" s="5" t="s">
        <v>26</v>
      </c>
      <c r="B26" s="4"/>
      <c r="C26" s="4" t="s">
        <v>38</v>
      </c>
      <c r="D26" s="484">
        <f>Assumptions!D78</f>
        <v>1849.3409999999997</v>
      </c>
      <c r="E26" s="9">
        <f>PDB_Burning!R115</f>
        <v>481</v>
      </c>
      <c r="F26" s="9">
        <f>PDB_Burning!U115</f>
        <v>481</v>
      </c>
      <c r="G26" s="9">
        <f>PDB_Burning!X115</f>
        <v>481</v>
      </c>
      <c r="H26" s="9">
        <f>PDB_Burning!AA115</f>
        <v>0</v>
      </c>
      <c r="I26" s="9">
        <f>PDB_Burning!AD115</f>
        <v>481</v>
      </c>
      <c r="J26" s="97">
        <f>PDB_Burning!S115-PDB_Burning!T115</f>
        <v>0.32111111111111101</v>
      </c>
      <c r="K26" s="97">
        <f>PDB_Burning!V115-PDB_Burning!W115</f>
        <v>0.3614444444444444</v>
      </c>
      <c r="L26" s="97">
        <f>PDB_Burning!Y115-PDB_Burning!Z115</f>
        <v>0.38688888888888889</v>
      </c>
      <c r="M26" s="97">
        <f>PDB_Burning!AB115-PDB_Burning!AC115</f>
        <v>0</v>
      </c>
      <c r="N26" s="97">
        <f>PDB_Burning!AE115-PDB_Burning!AF115</f>
        <v>0.40701202562222227</v>
      </c>
      <c r="O26" s="4">
        <f>Assumptions!$E$10</f>
        <v>0.35</v>
      </c>
      <c r="P26" s="4">
        <f>Assumptions!$E$11</f>
        <v>2.2999999999999998</v>
      </c>
      <c r="Q26" s="4">
        <f>Assumptions!$E$12</f>
        <v>28</v>
      </c>
      <c r="R26" s="4">
        <f>Assumptions!$E$17</f>
        <v>0.21</v>
      </c>
      <c r="S26" s="4">
        <f>Assumptions!$E$6</f>
        <v>265</v>
      </c>
      <c r="T26" s="82">
        <f t="shared" si="1"/>
        <v>3.4814031777777759</v>
      </c>
      <c r="U26" s="82">
        <f t="shared" si="2"/>
        <v>3.9186866911111102</v>
      </c>
      <c r="V26" s="82">
        <f t="shared" si="3"/>
        <v>4.1945487422222216</v>
      </c>
      <c r="W26" s="82">
        <f t="shared" si="4"/>
        <v>0</v>
      </c>
      <c r="X26" s="82">
        <f t="shared" si="5"/>
        <v>4.4127185586694715</v>
      </c>
      <c r="Y26" s="82">
        <f t="shared" si="6"/>
        <v>3.0083864416666652</v>
      </c>
      <c r="Z26" s="82">
        <f t="shared" si="7"/>
        <v>3.3862564341666661</v>
      </c>
      <c r="AA26" s="82">
        <f t="shared" si="8"/>
        <v>3.624637228333333</v>
      </c>
      <c r="AB26" s="82">
        <f t="shared" si="9"/>
        <v>0</v>
      </c>
      <c r="AC26" s="82">
        <f t="shared" si="10"/>
        <v>3.813164406676337</v>
      </c>
      <c r="AD26" s="82">
        <f t="shared" si="11"/>
        <v>6.4897896194444407</v>
      </c>
      <c r="AE26" s="82">
        <f t="shared" si="12"/>
        <v>7.3049431252777763</v>
      </c>
      <c r="AF26" s="82">
        <f t="shared" si="13"/>
        <v>7.8191859705555551</v>
      </c>
      <c r="AG26" s="82">
        <f t="shared" si="14"/>
        <v>0</v>
      </c>
      <c r="AH26" s="82">
        <f t="shared" si="15"/>
        <v>8.225882965345809</v>
      </c>
    </row>
    <row r="27" spans="1:34" x14ac:dyDescent="0.15">
      <c r="A27" s="5" t="s">
        <v>27</v>
      </c>
      <c r="B27" s="4"/>
      <c r="C27" s="4" t="s">
        <v>37</v>
      </c>
      <c r="D27" s="484">
        <f>Assumptions!D79</f>
        <v>7884.7310000000007</v>
      </c>
      <c r="E27" s="9">
        <f>PDB_Burning!R121</f>
        <v>1833.66</v>
      </c>
      <c r="F27" s="9">
        <f>PDB_Burning!U121</f>
        <v>1833.66</v>
      </c>
      <c r="G27" s="9">
        <f>PDB_Burning!X121</f>
        <v>1833.66</v>
      </c>
      <c r="H27" s="9">
        <f>PDB_Burning!AA121</f>
        <v>0</v>
      </c>
      <c r="I27" s="9">
        <f>PDB_Burning!AD121</f>
        <v>0</v>
      </c>
      <c r="J27" s="97">
        <f>PDB_Burning!S121-PDB_Burning!T121</f>
        <v>0.32019999999999998</v>
      </c>
      <c r="K27" s="97">
        <f>PDB_Burning!V121-PDB_Burning!W121</f>
        <v>0.36740000000000006</v>
      </c>
      <c r="L27" s="97">
        <f>PDB_Burning!Y121-PDB_Burning!Z121</f>
        <v>0.39560000000000001</v>
      </c>
      <c r="M27" s="97">
        <f>PDB_Burning!AB121-PDB_Burning!AC121</f>
        <v>0</v>
      </c>
      <c r="N27" s="97">
        <f>PDB_Burning!AE121-PDB_Burning!AF121</f>
        <v>0</v>
      </c>
      <c r="O27" s="4">
        <f>Assumptions!$E$10</f>
        <v>0.35</v>
      </c>
      <c r="P27" s="4">
        <f>Assumptions!$E$11</f>
        <v>2.2999999999999998</v>
      </c>
      <c r="Q27" s="4">
        <f>Assumptions!$E$12</f>
        <v>28</v>
      </c>
      <c r="R27" s="4">
        <f>Assumptions!$E$17</f>
        <v>0.21</v>
      </c>
      <c r="S27" s="4">
        <f>Assumptions!$E$6</f>
        <v>265</v>
      </c>
      <c r="T27" s="82">
        <f t="shared" si="1"/>
        <v>13.23408898728</v>
      </c>
      <c r="U27" s="82">
        <f t="shared" si="2"/>
        <v>15.184897857359999</v>
      </c>
      <c r="V27" s="82">
        <f t="shared" si="3"/>
        <v>16.350423495839998</v>
      </c>
      <c r="W27" s="82">
        <f t="shared" si="4"/>
        <v>0</v>
      </c>
      <c r="X27" s="82">
        <f t="shared" si="5"/>
        <v>0</v>
      </c>
      <c r="Y27" s="82">
        <f t="shared" si="6"/>
        <v>11.435979070529999</v>
      </c>
      <c r="Z27" s="82">
        <f t="shared" si="7"/>
        <v>13.121732387610001</v>
      </c>
      <c r="AA27" s="82">
        <f t="shared" si="8"/>
        <v>14.128898564339998</v>
      </c>
      <c r="AB27" s="82">
        <f t="shared" si="9"/>
        <v>0</v>
      </c>
      <c r="AC27" s="82">
        <f t="shared" si="10"/>
        <v>0</v>
      </c>
      <c r="AD27" s="82">
        <f t="shared" si="11"/>
        <v>24.670068057809999</v>
      </c>
      <c r="AE27" s="82">
        <f t="shared" si="12"/>
        <v>28.306630244970002</v>
      </c>
      <c r="AF27" s="82">
        <f t="shared" si="13"/>
        <v>30.479322060179996</v>
      </c>
      <c r="AG27" s="82">
        <f t="shared" si="14"/>
        <v>0</v>
      </c>
      <c r="AH27" s="82">
        <f t="shared" si="15"/>
        <v>0</v>
      </c>
    </row>
    <row r="28" spans="1:34" x14ac:dyDescent="0.15">
      <c r="A28" s="5" t="s">
        <v>28</v>
      </c>
      <c r="B28" s="4"/>
      <c r="C28" s="4" t="s">
        <v>36</v>
      </c>
      <c r="D28" s="484">
        <f>Assumptions!D80</f>
        <v>2195.1750000000002</v>
      </c>
      <c r="E28" s="9">
        <f>PDB_Burning!R127</f>
        <v>665.2</v>
      </c>
      <c r="F28" s="9">
        <f>PDB_Burning!U127</f>
        <v>665.2</v>
      </c>
      <c r="G28" s="9">
        <f>PDB_Burning!X127</f>
        <v>665.2</v>
      </c>
      <c r="H28" s="9">
        <f>PDB_Burning!AA127</f>
        <v>665.2</v>
      </c>
      <c r="I28" s="9">
        <f>PDB_Burning!AD127</f>
        <v>665.2</v>
      </c>
      <c r="J28" s="97">
        <f>PDB_Burning!S127-PDB_Burning!T127</f>
        <v>0.32020000000000004</v>
      </c>
      <c r="K28" s="97">
        <f>PDB_Burning!V127-PDB_Burning!W127</f>
        <v>0.35819999999999996</v>
      </c>
      <c r="L28" s="97">
        <f>PDB_Burning!Y127-PDB_Burning!Z127</f>
        <v>0.3832000000000001</v>
      </c>
      <c r="M28" s="97">
        <f>PDB_Burning!AB127-PDB_Burning!AC127</f>
        <v>0.39500000000000007</v>
      </c>
      <c r="N28" s="97">
        <f>PDB_Burning!AE127-PDB_Burning!AF127</f>
        <v>0.40442164612000009</v>
      </c>
      <c r="O28" s="4">
        <f>Assumptions!$E$10</f>
        <v>0.35</v>
      </c>
      <c r="P28" s="4">
        <f>Assumptions!$E$11</f>
        <v>2.2999999999999998</v>
      </c>
      <c r="Q28" s="4">
        <f>Assumptions!$E$12</f>
        <v>28</v>
      </c>
      <c r="R28" s="4">
        <f>Assumptions!$E$17</f>
        <v>0.21</v>
      </c>
      <c r="S28" s="4">
        <f>Assumptions!$E$6</f>
        <v>265</v>
      </c>
      <c r="T28" s="82">
        <f t="shared" si="1"/>
        <v>4.8009532816</v>
      </c>
      <c r="U28" s="82">
        <f t="shared" si="2"/>
        <v>5.3707103855999998</v>
      </c>
      <c r="V28" s="82">
        <f t="shared" si="3"/>
        <v>5.7455505856000011</v>
      </c>
      <c r="W28" s="82">
        <f t="shared" si="4"/>
        <v>5.9224751600000012</v>
      </c>
      <c r="X28" s="82">
        <f t="shared" si="5"/>
        <v>6.063739628638003</v>
      </c>
      <c r="Y28" s="82">
        <f t="shared" si="6"/>
        <v>4.1486498466000006</v>
      </c>
      <c r="Z28" s="82">
        <f t="shared" si="7"/>
        <v>4.6409943006000001</v>
      </c>
      <c r="AA28" s="82">
        <f t="shared" si="8"/>
        <v>4.9649051256000014</v>
      </c>
      <c r="AB28" s="82">
        <f t="shared" si="9"/>
        <v>5.1177910350000015</v>
      </c>
      <c r="AC28" s="82">
        <f t="shared" si="10"/>
        <v>5.2398619617034923</v>
      </c>
      <c r="AD28" s="82">
        <f t="shared" si="11"/>
        <v>8.9496031281999997</v>
      </c>
      <c r="AE28" s="82">
        <f t="shared" si="12"/>
        <v>10.0117046862</v>
      </c>
      <c r="AF28" s="82">
        <f t="shared" si="13"/>
        <v>10.710455711200002</v>
      </c>
      <c r="AG28" s="82">
        <f t="shared" si="14"/>
        <v>11.040266195000003</v>
      </c>
      <c r="AH28" s="82">
        <f t="shared" si="15"/>
        <v>11.303601590341495</v>
      </c>
    </row>
    <row r="29" spans="1:34" x14ac:dyDescent="0.15">
      <c r="A29" s="5" t="s">
        <v>29</v>
      </c>
      <c r="B29" s="4"/>
      <c r="C29" s="4" t="s">
        <v>37</v>
      </c>
      <c r="D29" s="484">
        <f>Assumptions!D81</f>
        <v>454.25200000000001</v>
      </c>
      <c r="E29" s="9">
        <f>PDB_Burning!R132</f>
        <v>99.65</v>
      </c>
      <c r="F29" s="9">
        <f>PDB_Burning!U132</f>
        <v>99.65</v>
      </c>
      <c r="G29" s="9">
        <f>PDB_Burning!X132</f>
        <v>99.65</v>
      </c>
      <c r="H29" s="9">
        <f>PDB_Burning!AA132</f>
        <v>99.65</v>
      </c>
      <c r="I29" s="9">
        <f>PDB_Burning!AD132</f>
        <v>99.65</v>
      </c>
      <c r="J29" s="97">
        <f>PDB_Burning!S132-PDB_Burning!T132</f>
        <v>0.32324999999999993</v>
      </c>
      <c r="K29" s="97">
        <f>PDB_Burning!V132-PDB_Burning!W132</f>
        <v>0.36499999999999999</v>
      </c>
      <c r="L29" s="97">
        <f>PDB_Burning!Y132-PDB_Burning!Z132</f>
        <v>0.38275000000000003</v>
      </c>
      <c r="M29" s="97">
        <f>PDB_Burning!AB132-PDB_Burning!AC132</f>
        <v>0.39150000000000007</v>
      </c>
      <c r="N29" s="97">
        <f>PDB_Burning!AE132-PDB_Burning!AF132</f>
        <v>0.39927705765000004</v>
      </c>
      <c r="O29" s="4">
        <f>Assumptions!$E$10</f>
        <v>0.35</v>
      </c>
      <c r="P29" s="4">
        <f>Assumptions!$E$11</f>
        <v>2.2999999999999998</v>
      </c>
      <c r="Q29" s="4">
        <f>Assumptions!$E$12</f>
        <v>28</v>
      </c>
      <c r="R29" s="4">
        <f>Assumptions!$E$17</f>
        <v>0.21</v>
      </c>
      <c r="S29" s="4">
        <f>Assumptions!$E$6</f>
        <v>265</v>
      </c>
      <c r="T29" s="82">
        <f t="shared" si="1"/>
        <v>0.72605538074999987</v>
      </c>
      <c r="U29" s="82">
        <f t="shared" si="2"/>
        <v>0.81983051499999993</v>
      </c>
      <c r="V29" s="82">
        <f t="shared" si="3"/>
        <v>0.85969898524999999</v>
      </c>
      <c r="W29" s="82">
        <f t="shared" si="4"/>
        <v>0.87935245650000016</v>
      </c>
      <c r="X29" s="82">
        <f t="shared" si="5"/>
        <v>0.89682059123529922</v>
      </c>
      <c r="Y29" s="82">
        <f t="shared" si="6"/>
        <v>0.62740655184374972</v>
      </c>
      <c r="Z29" s="82">
        <f t="shared" si="7"/>
        <v>0.70844049937499998</v>
      </c>
      <c r="AA29" s="82">
        <f t="shared" si="8"/>
        <v>0.74289205790625001</v>
      </c>
      <c r="AB29" s="82">
        <f t="shared" si="9"/>
        <v>0.75987522056250012</v>
      </c>
      <c r="AC29" s="82">
        <f t="shared" si="10"/>
        <v>0.77496996742615532</v>
      </c>
      <c r="AD29" s="82">
        <f t="shared" si="11"/>
        <v>1.3534619325937496</v>
      </c>
      <c r="AE29" s="82">
        <f t="shared" si="12"/>
        <v>1.528271014375</v>
      </c>
      <c r="AF29" s="82">
        <f t="shared" si="13"/>
        <v>1.60259104315625</v>
      </c>
      <c r="AG29" s="82">
        <f t="shared" si="14"/>
        <v>1.6392276770625003</v>
      </c>
      <c r="AH29" s="82">
        <f t="shared" si="15"/>
        <v>1.6717905586614545</v>
      </c>
    </row>
    <row r="30" spans="1:34" ht="13" thickBot="1" x14ac:dyDescent="0.2">
      <c r="A30" s="5" t="s">
        <v>30</v>
      </c>
      <c r="B30" s="4"/>
      <c r="C30" s="4" t="s">
        <v>35</v>
      </c>
      <c r="D30" s="484">
        <f>Assumptions!D82</f>
        <v>18064.454000000005</v>
      </c>
      <c r="E30" s="9">
        <f>PDB_Burning!R140</f>
        <v>0</v>
      </c>
      <c r="F30" s="9">
        <f>PDB_Burning!U140</f>
        <v>0</v>
      </c>
      <c r="G30" s="9">
        <f>PDB_Burning!X140</f>
        <v>0</v>
      </c>
      <c r="H30" s="9">
        <f>PDB_Burning!AA140</f>
        <v>1012.397</v>
      </c>
      <c r="I30" s="9">
        <f>PDB_Burning!AD140</f>
        <v>0</v>
      </c>
      <c r="J30" s="97">
        <f>PDB_Burning!S140-PDB_Burning!T140</f>
        <v>0</v>
      </c>
      <c r="K30" s="97">
        <f>PDB_Burning!V140-PDB_Burning!W140</f>
        <v>0</v>
      </c>
      <c r="L30" s="97">
        <f>PDB_Burning!Y140-PDB_Burning!Z140</f>
        <v>0</v>
      </c>
      <c r="M30" s="97">
        <f>PDB_Burning!AB140-PDB_Burning!AC140</f>
        <v>0.41242857142857148</v>
      </c>
      <c r="N30" s="97">
        <f>PDB_Burning!AE140-PDB_Burning!AF140</f>
        <v>0</v>
      </c>
      <c r="O30" s="4">
        <f>Assumptions!$E$10</f>
        <v>0.35</v>
      </c>
      <c r="P30" s="4">
        <f>Assumptions!$E$11</f>
        <v>2.2999999999999998</v>
      </c>
      <c r="Q30" s="4">
        <f>Assumptions!$E$12</f>
        <v>28</v>
      </c>
      <c r="R30" s="4">
        <f>Assumptions!$E$17</f>
        <v>0.21</v>
      </c>
      <c r="S30" s="4">
        <f>Assumptions!$E$6</f>
        <v>265</v>
      </c>
      <c r="T30" s="82">
        <f t="shared" si="1"/>
        <v>0</v>
      </c>
      <c r="U30" s="82">
        <f t="shared" si="2"/>
        <v>0</v>
      </c>
      <c r="V30" s="82">
        <f t="shared" si="3"/>
        <v>0</v>
      </c>
      <c r="W30" s="82">
        <f t="shared" si="4"/>
        <v>9.4113842475799991</v>
      </c>
      <c r="X30" s="82">
        <f t="shared" si="5"/>
        <v>0</v>
      </c>
      <c r="Y30" s="82">
        <f t="shared" ref="Y30" si="16">E30*J30*O30*R30*S30/1000</f>
        <v>0</v>
      </c>
      <c r="Z30" s="82">
        <f t="shared" si="7"/>
        <v>0</v>
      </c>
      <c r="AA30" s="82">
        <f t="shared" si="8"/>
        <v>0</v>
      </c>
      <c r="AB30" s="82">
        <f t="shared" si="9"/>
        <v>8.1326635617675009</v>
      </c>
      <c r="AC30" s="82">
        <f t="shared" si="10"/>
        <v>0</v>
      </c>
      <c r="AD30" s="82">
        <f t="shared" si="11"/>
        <v>0</v>
      </c>
      <c r="AE30" s="82">
        <f t="shared" si="12"/>
        <v>0</v>
      </c>
      <c r="AF30" s="82">
        <f t="shared" si="13"/>
        <v>0</v>
      </c>
      <c r="AG30" s="82">
        <f t="shared" si="14"/>
        <v>17.5440478093475</v>
      </c>
      <c r="AH30" s="82">
        <f t="shared" si="15"/>
        <v>0</v>
      </c>
    </row>
    <row r="31" spans="1:34" ht="16" thickBot="1" x14ac:dyDescent="0.2">
      <c r="A31" s="551" t="s">
        <v>349</v>
      </c>
      <c r="B31" s="552"/>
      <c r="C31" s="552"/>
      <c r="D31" s="552"/>
      <c r="E31" s="552"/>
      <c r="F31" s="552"/>
      <c r="G31" s="552"/>
      <c r="H31" s="552"/>
      <c r="I31" s="552"/>
      <c r="J31" s="552"/>
      <c r="K31" s="552"/>
      <c r="L31" s="552"/>
      <c r="M31" s="552"/>
      <c r="N31" s="552"/>
      <c r="O31" s="552"/>
      <c r="P31" s="552"/>
      <c r="Q31" s="552"/>
      <c r="R31" s="552"/>
      <c r="S31" s="552"/>
      <c r="T31" s="552"/>
      <c r="U31" s="552"/>
      <c r="V31" s="552"/>
      <c r="W31" s="552"/>
      <c r="X31" s="552"/>
      <c r="Y31" s="552"/>
      <c r="Z31" s="553"/>
      <c r="AA31" s="553"/>
      <c r="AB31" s="553"/>
      <c r="AC31" s="554"/>
      <c r="AD31" s="86">
        <f>SUM(AD9:AD30)</f>
        <v>71.956660575300262</v>
      </c>
      <c r="AE31" s="86">
        <f t="shared" ref="AE31:AH31" si="17">SUM(AE9:AE30)</f>
        <v>122.85984451059569</v>
      </c>
      <c r="AF31" s="86">
        <f t="shared" si="17"/>
        <v>77.595518646202464</v>
      </c>
      <c r="AG31" s="86">
        <f t="shared" si="17"/>
        <v>114.92756178880715</v>
      </c>
      <c r="AH31" s="86">
        <f t="shared" si="17"/>
        <v>72.518625338123741</v>
      </c>
    </row>
    <row r="32" spans="1:34" x14ac:dyDescent="0.15">
      <c r="D32" s="86"/>
    </row>
    <row r="33" spans="4:10" x14ac:dyDescent="0.15">
      <c r="D33" s="86"/>
      <c r="J33" s="99"/>
    </row>
    <row r="34" spans="4:10" x14ac:dyDescent="0.15">
      <c r="J34" s="99"/>
    </row>
    <row r="35" spans="4:10" x14ac:dyDescent="0.15">
      <c r="D35" s="476"/>
      <c r="J35" s="99"/>
    </row>
    <row r="36" spans="4:10" x14ac:dyDescent="0.15">
      <c r="J36" s="100"/>
    </row>
    <row r="37" spans="4:10" x14ac:dyDescent="0.15">
      <c r="J37" s="100"/>
    </row>
    <row r="38" spans="4:10" x14ac:dyDescent="0.15">
      <c r="J38" s="100"/>
    </row>
  </sheetData>
  <mergeCells count="16">
    <mergeCell ref="A1:F1"/>
    <mergeCell ref="A31:AC31"/>
    <mergeCell ref="AD7:AH7"/>
    <mergeCell ref="AD8:AH8"/>
    <mergeCell ref="J7:N7"/>
    <mergeCell ref="J8:N8"/>
    <mergeCell ref="Y7:AC7"/>
    <mergeCell ref="Y8:AC8"/>
    <mergeCell ref="T7:X7"/>
    <mergeCell ref="T8:X8"/>
    <mergeCell ref="A6:A8"/>
    <mergeCell ref="B6:B8"/>
    <mergeCell ref="C6:C8"/>
    <mergeCell ref="D6:D8"/>
    <mergeCell ref="E7:I7"/>
    <mergeCell ref="E8:I8"/>
  </mergeCells>
  <phoneticPr fontId="17" type="noConversion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85F1FEC937B747BB329CF587341D22" ma:contentTypeVersion="14" ma:contentTypeDescription="Create a new document." ma:contentTypeScope="" ma:versionID="e6563c110994bbb3e801306e374f23aa">
  <xsd:schema xmlns:xsd="http://www.w3.org/2001/XMLSchema" xmlns:xs="http://www.w3.org/2001/XMLSchema" xmlns:p="http://schemas.microsoft.com/office/2006/metadata/properties" xmlns:ns2="72973a68-df94-4df0-b27b-90ca62d1360d" xmlns:ns3="489729f9-ea98-40aa-8404-81c337cb94f4" targetNamespace="http://schemas.microsoft.com/office/2006/metadata/properties" ma:root="true" ma:fieldsID="4388ddfc8e2cac1b44a38745cbfd69a9" ns2:_="" ns3:_="">
    <xsd:import namespace="72973a68-df94-4df0-b27b-90ca62d1360d"/>
    <xsd:import namespace="489729f9-ea98-40aa-8404-81c337cb94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973a68-df94-4df0-b27b-90ca62d136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a509f4e4-c0bf-442e-9f32-bd5a3f6154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9729f9-ea98-40aa-8404-81c337cb94f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a48d91e-7cad-4762-be19-4487c92492c4}" ma:internalName="TaxCatchAll" ma:showField="CatchAllData" ma:web="489729f9-ea98-40aa-8404-81c337cb94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973a68-df94-4df0-b27b-90ca62d1360d">
      <Terms xmlns="http://schemas.microsoft.com/office/infopath/2007/PartnerControls"/>
    </lcf76f155ced4ddcb4097134ff3c332f>
    <TaxCatchAll xmlns="489729f9-ea98-40aa-8404-81c337cb94f4" xsi:nil="true"/>
  </documentManagement>
</p:properties>
</file>

<file path=customXml/itemProps1.xml><?xml version="1.0" encoding="utf-8"?>
<ds:datastoreItem xmlns:ds="http://schemas.openxmlformats.org/officeDocument/2006/customXml" ds:itemID="{91163B53-A511-43A7-9B47-732E4D8E678B}"/>
</file>

<file path=customXml/itemProps2.xml><?xml version="1.0" encoding="utf-8"?>
<ds:datastoreItem xmlns:ds="http://schemas.openxmlformats.org/officeDocument/2006/customXml" ds:itemID="{2BBEC008-2316-4639-ABCE-6256AB42A121}"/>
</file>

<file path=customXml/itemProps3.xml><?xml version="1.0" encoding="utf-8"?>
<ds:datastoreItem xmlns:ds="http://schemas.openxmlformats.org/officeDocument/2006/customXml" ds:itemID="{7A6DB739-B744-40F5-BC3B-E84B75C821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Assumptions</vt:lpstr>
      <vt:lpstr>PDB_Fertilizer</vt:lpstr>
      <vt:lpstr>PDB_Burning</vt:lpstr>
      <vt:lpstr>PDB_Livestock</vt:lpstr>
      <vt:lpstr>PDB_woody perennials</vt:lpstr>
      <vt:lpstr>Fertilizer_baseline</vt:lpstr>
      <vt:lpstr>Fertilizer_project</vt:lpstr>
      <vt:lpstr>Burning_baseline</vt:lpstr>
      <vt:lpstr>Burning_project</vt:lpstr>
      <vt:lpstr>Manure_baseline</vt:lpstr>
      <vt:lpstr>Manure_project</vt:lpstr>
      <vt:lpstr>BR_woody perennials</vt:lpstr>
      <vt:lpstr>PR_woody perennials</vt:lpstr>
      <vt:lpstr>BE_PE_CH4 Emission_Livestock</vt:lpstr>
      <vt:lpstr>Soil data_baseline</vt:lpstr>
      <vt:lpstr>soil analysis data_Project</vt:lpstr>
      <vt:lpstr>Project removal_SOC</vt:lpstr>
      <vt:lpstr>Emission Removal</vt:lpstr>
      <vt:lpstr>Buffer Calculation</vt:lpstr>
      <vt:lpstr>PD</vt:lpstr>
      <vt:lpstr>Project emission removals</vt:lpstr>
      <vt:lpstr>Sample plot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Tulika</dc:creator>
  <cp:lastModifiedBy>Tulika Biswas</cp:lastModifiedBy>
  <dcterms:created xsi:type="dcterms:W3CDTF">2022-11-10T04:55:24Z</dcterms:created>
  <dcterms:modified xsi:type="dcterms:W3CDTF">2024-06-26T09:23:57Z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0x0101003D85F1FEC937B747BB329CF587341D22</vt:lpwstr>
  </property>
</Properties>
</file>