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EB9744C-88F3-47DB-86C3-E051F87E99EE}" xr6:coauthVersionLast="47" xr6:coauthVersionMax="47" xr10:uidLastSave="{00000000-0000-0000-0000-000000000000}"/>
  <bookViews>
    <workbookView xWindow="-120" yWindow="-120" windowWidth="20730" windowHeight="11040" tabRatio="679" xr2:uid="{00000000-000D-0000-FFFF-FFFF00000000}"/>
  </bookViews>
  <sheets>
    <sheet name="Emission reductions" sheetId="4" r:id="rId1"/>
    <sheet name="Mandsaur" sheetId="13" r:id="rId2"/>
    <sheet name="Rojmal" sheetId="11" r:id="rId3"/>
    <sheet name="Bhadla " sheetId="12" r:id="rId4"/>
    <sheet name="Ananthpur" sheetId="17" r:id="rId5"/>
    <sheet name="SDGs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" l="1"/>
  <c r="D20" i="12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5" i="11"/>
  <c r="F6" i="18"/>
  <c r="F4" i="18"/>
  <c r="E11" i="4"/>
  <c r="Q22" i="12"/>
  <c r="F20" i="12" l="1"/>
  <c r="E20" i="11"/>
  <c r="M7" i="4" s="1"/>
  <c r="R22" i="12"/>
  <c r="Q8" i="12"/>
  <c r="R8" i="12" s="1"/>
  <c r="Q9" i="12"/>
  <c r="R9" i="12" s="1"/>
  <c r="Q10" i="12"/>
  <c r="Q11" i="12"/>
  <c r="R11" i="12" s="1"/>
  <c r="Q12" i="12"/>
  <c r="Q13" i="12"/>
  <c r="R13" i="12" s="1"/>
  <c r="R12" i="12"/>
  <c r="Q14" i="12"/>
  <c r="R14" i="12" s="1"/>
  <c r="Q15" i="12"/>
  <c r="R15" i="12" s="1"/>
  <c r="Q16" i="12"/>
  <c r="Q17" i="12"/>
  <c r="R17" i="12" s="1"/>
  <c r="Q18" i="12"/>
  <c r="R18" i="12" s="1"/>
  <c r="Q19" i="12"/>
  <c r="R19" i="12" s="1"/>
  <c r="R10" i="12"/>
  <c r="Q20" i="12"/>
  <c r="R20" i="12" s="1"/>
  <c r="H8" i="17"/>
  <c r="F5" i="13"/>
  <c r="H5" i="13" s="1"/>
  <c r="F20" i="13"/>
  <c r="F11" i="13"/>
  <c r="F12" i="13"/>
  <c r="F13" i="13"/>
  <c r="F14" i="13"/>
  <c r="F15" i="13"/>
  <c r="F16" i="13"/>
  <c r="F17" i="13"/>
  <c r="F18" i="13"/>
  <c r="F19" i="13"/>
  <c r="F10" i="13"/>
  <c r="F9" i="13"/>
  <c r="F7" i="13"/>
  <c r="F6" i="13"/>
  <c r="Q21" i="12"/>
  <c r="R21" i="12" s="1"/>
  <c r="R16" i="12"/>
  <c r="G8" i="11"/>
  <c r="I8" i="11" s="1"/>
  <c r="G9" i="11"/>
  <c r="I9" i="11" s="1"/>
  <c r="G10" i="11"/>
  <c r="I10" i="11" s="1"/>
  <c r="G11" i="11"/>
  <c r="I11" i="11" s="1"/>
  <c r="G12" i="11"/>
  <c r="I12" i="11" s="1"/>
  <c r="G13" i="11"/>
  <c r="I13" i="11" s="1"/>
  <c r="G14" i="11"/>
  <c r="I14" i="11" s="1"/>
  <c r="G15" i="11"/>
  <c r="I15" i="11" s="1"/>
  <c r="G16" i="11"/>
  <c r="I16" i="11" s="1"/>
  <c r="G17" i="11"/>
  <c r="I17" i="11" s="1"/>
  <c r="G18" i="11"/>
  <c r="I18" i="11" s="1"/>
  <c r="G19" i="11"/>
  <c r="I19" i="11" s="1"/>
  <c r="G6" i="11"/>
  <c r="I6" i="11" s="1"/>
  <c r="G7" i="11"/>
  <c r="I7" i="11" s="1"/>
  <c r="G5" i="11"/>
  <c r="I5" i="11" s="1"/>
  <c r="E7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7" i="17"/>
  <c r="G22" i="17"/>
  <c r="F22" i="17"/>
  <c r="E21" i="17"/>
  <c r="I21" i="17" s="1"/>
  <c r="E20" i="17"/>
  <c r="I20" i="17" s="1"/>
  <c r="E19" i="17"/>
  <c r="E18" i="17"/>
  <c r="E17" i="17"/>
  <c r="E16" i="17"/>
  <c r="I16" i="17" s="1"/>
  <c r="E15" i="17"/>
  <c r="I15" i="17" s="1"/>
  <c r="E14" i="17"/>
  <c r="E13" i="17"/>
  <c r="I13" i="17" s="1"/>
  <c r="E12" i="17"/>
  <c r="I12" i="17" s="1"/>
  <c r="E11" i="17"/>
  <c r="I11" i="17" s="1"/>
  <c r="E10" i="17"/>
  <c r="I10" i="17" s="1"/>
  <c r="E9" i="17"/>
  <c r="I9" i="17" s="1"/>
  <c r="E8" i="17"/>
  <c r="D22" i="17"/>
  <c r="C22" i="17"/>
  <c r="I7" i="17" l="1"/>
  <c r="I17" i="17"/>
  <c r="R23" i="12"/>
  <c r="J22" i="17"/>
  <c r="I8" i="17"/>
  <c r="L7" i="17"/>
  <c r="I19" i="17"/>
  <c r="I18" i="17"/>
  <c r="I14" i="17"/>
  <c r="G20" i="11"/>
  <c r="E22" i="17"/>
  <c r="H22" i="17"/>
  <c r="I22" i="17" l="1"/>
  <c r="M9" i="4" s="1"/>
  <c r="L20" i="17"/>
  <c r="L16" i="17"/>
  <c r="L12" i="17"/>
  <c r="L10" i="17"/>
  <c r="L9" i="17"/>
  <c r="L8" i="17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 l="1"/>
  <c r="M7" i="17"/>
  <c r="L17" i="17"/>
  <c r="L13" i="17"/>
  <c r="L21" i="17"/>
  <c r="L19" i="17"/>
  <c r="L14" i="17"/>
  <c r="L11" i="17"/>
  <c r="L15" i="17"/>
  <c r="L18" i="17"/>
  <c r="F21" i="13"/>
  <c r="D20" i="11"/>
  <c r="M10" i="17" l="1"/>
  <c r="M22" i="17" s="1"/>
  <c r="M17" i="4" s="1"/>
  <c r="F8" i="13" l="1"/>
  <c r="F22" i="13" s="1"/>
  <c r="M6" i="4" s="1"/>
  <c r="E10" i="4" l="1"/>
  <c r="E12" i="4" s="1"/>
  <c r="H6" i="13" l="1"/>
  <c r="H7" i="13"/>
  <c r="H8" i="13" l="1"/>
  <c r="C45" i="11"/>
  <c r="J5" i="11" l="1"/>
  <c r="J8" i="11"/>
  <c r="H22" i="13"/>
  <c r="M14" i="4" s="1"/>
  <c r="F20" i="11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F21" i="12"/>
  <c r="F22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P17" i="12" l="1"/>
  <c r="U17" i="12" s="1"/>
  <c r="J20" i="11"/>
  <c r="P16" i="12"/>
  <c r="P8" i="12"/>
  <c r="P22" i="12"/>
  <c r="P15" i="12"/>
  <c r="P12" i="12"/>
  <c r="P10" i="12"/>
  <c r="P18" i="12"/>
  <c r="P14" i="12"/>
  <c r="P21" i="12"/>
  <c r="P13" i="12"/>
  <c r="P19" i="12"/>
  <c r="P11" i="12"/>
  <c r="P9" i="12"/>
  <c r="P20" i="12"/>
  <c r="S20" i="12" l="1"/>
  <c r="U20" i="12"/>
  <c r="S15" i="12"/>
  <c r="U15" i="12"/>
  <c r="S22" i="12"/>
  <c r="U22" i="12"/>
  <c r="S10" i="12"/>
  <c r="U10" i="12"/>
  <c r="S12" i="12"/>
  <c r="U12" i="12"/>
  <c r="S8" i="12"/>
  <c r="U8" i="12"/>
  <c r="S17" i="12"/>
  <c r="S11" i="12"/>
  <c r="U11" i="12"/>
  <c r="S19" i="12"/>
  <c r="U19" i="12"/>
  <c r="S13" i="12"/>
  <c r="U13" i="12"/>
  <c r="S21" i="12"/>
  <c r="U21" i="12"/>
  <c r="S16" i="12"/>
  <c r="U16" i="12"/>
  <c r="S18" i="12"/>
  <c r="U18" i="12"/>
  <c r="S9" i="12"/>
  <c r="U9" i="12"/>
  <c r="S14" i="12"/>
  <c r="U14" i="12"/>
  <c r="P23" i="12"/>
  <c r="M15" i="4"/>
  <c r="V8" i="12" l="1"/>
  <c r="E18" i="4" s="1"/>
  <c r="S23" i="12"/>
  <c r="M8" i="4" s="1"/>
  <c r="V11" i="12"/>
  <c r="E19" i="4" s="1"/>
  <c r="M10" i="4" l="1"/>
  <c r="E5" i="4" s="1"/>
  <c r="E20" i="4"/>
  <c r="V23" i="12"/>
  <c r="M16" i="4" s="1"/>
  <c r="M18" i="4" s="1"/>
  <c r="E7" i="4" s="1"/>
  <c r="E13" i="4" s="1"/>
  <c r="E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0" authorId="0" shapeId="0" xr:uid="{0F8E31E7-79D6-44F3-8440-BEAEC0D962E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Error factor Applied</t>
        </r>
      </text>
    </comment>
    <comment ref="D20" authorId="0" shapeId="0" xr:uid="{B547B47C-D1BA-44A2-BBEF-A2FAAD6F59D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Error factor applied</t>
        </r>
      </text>
    </comment>
    <comment ref="E20" authorId="0" shapeId="0" xr:uid="{D7B81E29-269C-45A8-B0EF-9A9E3E26B44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Error factor applied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5" authorId="0" shapeId="0" xr:uid="{D647699D-E82C-43E3-8C36-6ADA387311A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(based on current monitoring period)</t>
        </r>
      </text>
    </comment>
  </commentList>
</comments>
</file>

<file path=xl/sharedStrings.xml><?xml version="1.0" encoding="utf-8"?>
<sst xmlns="http://schemas.openxmlformats.org/spreadsheetml/2006/main" count="125" uniqueCount="87">
  <si>
    <t>Monitoring month</t>
  </si>
  <si>
    <t>Total</t>
  </si>
  <si>
    <t>Baseline emissions  (tCO2)</t>
  </si>
  <si>
    <t>Site</t>
  </si>
  <si>
    <t>Ananthpur</t>
  </si>
  <si>
    <t>Mandsaur</t>
  </si>
  <si>
    <t>P4</t>
  </si>
  <si>
    <t>P5</t>
  </si>
  <si>
    <t>P6</t>
  </si>
  <si>
    <t>P7</t>
  </si>
  <si>
    <t>Export energy export (kWh)</t>
  </si>
  <si>
    <t>Import energy export (kWh)</t>
  </si>
  <si>
    <t>Net energy export (KWh)</t>
  </si>
  <si>
    <t>JMR</t>
  </si>
  <si>
    <t xml:space="preserve">Invoice </t>
  </si>
  <si>
    <r>
      <t>Grid emission factor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/MWh)</t>
    </r>
  </si>
  <si>
    <t>Actual Total Net Generation in this Monitoring Period</t>
  </si>
  <si>
    <t>MWh</t>
  </si>
  <si>
    <t>Emission Factor</t>
  </si>
  <si>
    <t>Actual ERs achieved in this MP</t>
  </si>
  <si>
    <t>tCO2e</t>
  </si>
  <si>
    <t>Start Date Of MP</t>
  </si>
  <si>
    <t>End Date Of MP</t>
  </si>
  <si>
    <t>Total Days</t>
  </si>
  <si>
    <t>Estimated ER equivalent to this MP</t>
  </si>
  <si>
    <t>% Difference in ER</t>
  </si>
  <si>
    <t>Vintage wise Break-up</t>
  </si>
  <si>
    <t>Grid emission factor (tCO2/MWh)</t>
  </si>
  <si>
    <t>Net  Energy  (KWh) -
 Invoice</t>
  </si>
  <si>
    <t>Emissions Reduction
 (tCO2)</t>
  </si>
  <si>
    <t>Bhadla</t>
  </si>
  <si>
    <r>
      <t xml:space="preserve">Export energy export </t>
    </r>
    <r>
      <rPr>
        <b/>
        <sz val="8"/>
        <color theme="1"/>
        <rFont val="Calibri"/>
        <family val="2"/>
        <scheme val="minor"/>
      </rPr>
      <t>(kWh)</t>
    </r>
  </si>
  <si>
    <r>
      <t xml:space="preserve">Import energy export </t>
    </r>
    <r>
      <rPr>
        <b/>
        <sz val="8"/>
        <color theme="1"/>
        <rFont val="Calibri"/>
        <family val="2"/>
        <scheme val="minor"/>
      </rPr>
      <t>(kWh)</t>
    </r>
  </si>
  <si>
    <r>
      <t xml:space="preserve">Grid emission factor </t>
    </r>
    <r>
      <rPr>
        <b/>
        <sz val="8"/>
        <color theme="1"/>
        <rFont val="Calibri"/>
        <family val="2"/>
        <scheme val="minor"/>
      </rPr>
      <t>(tCO</t>
    </r>
    <r>
      <rPr>
        <b/>
        <vertAlign val="sub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/MWh)</t>
    </r>
  </si>
  <si>
    <r>
      <t xml:space="preserve">Baseline emissions  </t>
    </r>
    <r>
      <rPr>
        <b/>
        <sz val="8"/>
        <color theme="1"/>
        <rFont val="Calibri"/>
        <family val="2"/>
        <scheme val="minor"/>
      </rPr>
      <t>(tCO2)</t>
    </r>
  </si>
  <si>
    <t>1 A'</t>
  </si>
  <si>
    <t>50 MW - Ananthpur in project activity</t>
  </si>
  <si>
    <t>Net Generation MWh</t>
  </si>
  <si>
    <t>Sr.no</t>
  </si>
  <si>
    <t>Rojmal</t>
  </si>
  <si>
    <t>Anathpur</t>
  </si>
  <si>
    <t>Net Energy(MWh)</t>
  </si>
  <si>
    <t>Days</t>
  </si>
  <si>
    <t>250 MW - Mandsaur</t>
  </si>
  <si>
    <t>260MW - Bhadla</t>
  </si>
  <si>
    <t>50 MW  - Gujarat</t>
  </si>
  <si>
    <t>Net energy KWh)</t>
  </si>
  <si>
    <t>Net energy  (KWh)</t>
  </si>
  <si>
    <t>Total Net energy  (MWh) -JMR</t>
  </si>
  <si>
    <t>Total Net energy  (MWh) - Invoice</t>
  </si>
  <si>
    <t>Net Energy  (MWh)</t>
  </si>
  <si>
    <t>1A'+1B'</t>
  </si>
  <si>
    <r>
      <t xml:space="preserve">Total Net energy  </t>
    </r>
    <r>
      <rPr>
        <b/>
        <sz val="8"/>
        <color theme="1"/>
        <rFont val="Calibri"/>
        <family val="2"/>
        <scheme val="minor"/>
      </rPr>
      <t>(MWh) - Invoice</t>
    </r>
  </si>
  <si>
    <t>Vintage wise 2020</t>
  </si>
  <si>
    <t>Vintage wise 2021</t>
  </si>
  <si>
    <t>Annual ER Estimated in the PDMR</t>
  </si>
  <si>
    <t>Net Energy  
(Mwh) - JMR</t>
  </si>
  <si>
    <r>
      <t xml:space="preserve">Net energy export </t>
    </r>
    <r>
      <rPr>
        <b/>
        <sz val="8"/>
        <color theme="1"/>
        <rFont val="Calibri"/>
        <family val="2"/>
        <scheme val="minor"/>
      </rPr>
      <t xml:space="preserve">(MWh) </t>
    </r>
  </si>
  <si>
    <r>
      <t xml:space="preserve">Net energy export </t>
    </r>
    <r>
      <rPr>
        <b/>
        <sz val="8"/>
        <color theme="1"/>
        <rFont val="Calibri"/>
        <family val="2"/>
        <scheme val="minor"/>
      </rPr>
      <t>(MWh)</t>
    </r>
  </si>
  <si>
    <t>Total energy export (MWh)</t>
  </si>
  <si>
    <t>1 B'</t>
  </si>
  <si>
    <t>Net  Energy  (MWh) -
 Invoice</t>
  </si>
  <si>
    <t>Total Net energy  (KWh) - Invoice</t>
  </si>
  <si>
    <t>Net Energy  (Kwh) - JMR</t>
  </si>
  <si>
    <t>Project Lifetime (25 Years) Calculation</t>
  </si>
  <si>
    <t>SDG 7</t>
  </si>
  <si>
    <t>SDG 8</t>
  </si>
  <si>
    <t>SDG 13</t>
  </si>
  <si>
    <t>As per Registerd PDMR</t>
  </si>
  <si>
    <t>SDGs</t>
  </si>
  <si>
    <t>tCO2e/year</t>
  </si>
  <si>
    <t>Number</t>
  </si>
  <si>
    <t>MWh/year</t>
  </si>
  <si>
    <t>Unit</t>
  </si>
  <si>
    <t>Project lifetime (25 years</t>
  </si>
  <si>
    <t>Net Energy (kWh) - Invoice</t>
  </si>
  <si>
    <t>Emissions Reduction (tCO2e)</t>
  </si>
  <si>
    <t>Vintage wise 
break-up (tCO2e)</t>
  </si>
  <si>
    <t>Vintage Wise Break-up (tCO2e)</t>
  </si>
  <si>
    <t>Vintage Wise Breakup (tCO2e)</t>
  </si>
  <si>
    <t>Net Energy  
(Mwh) - JMR (with error factor)</t>
  </si>
  <si>
    <r>
      <t>Emission Reduction(tCO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</si>
  <si>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r>
      <t>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</si>
  <si>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r>
      <t>tCO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</si>
  <si>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/year</t>
    </r>
  </si>
  <si>
    <t>01-January-2021 to 31-December-2021</t>
  </si>
  <si>
    <t>01-October-2020 to 31-December-2020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</si>
</sst>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[$-409]d/mmm/yy;@"/>
    <numFmt numFmtId="166" formatCode="[$-409]dd/mmm/yy;@"/>
    <numFmt numFmtId="167" formatCode="0.000"/>
    <numFmt numFmtId="168" formatCode="[$-409]dd\-mmm\-yy;@"/>
    <numFmt numFmtId="169" formatCode="_-* #,##0.00_k_r_._-;\-* #,##0.00_k_r_._-;_-* &quot;-&quot;??_k_r_._-;_-@_-"/>
    <numFmt numFmtId="170" formatCode="[$-409]d\-mmm\-yy;@"/>
    <numFmt numFmtId="171" formatCode="0.0"/>
    <numFmt numFmtId="172" formatCode="0.0000"/>
    <numFmt numFmtId="173" formatCode="#,##0.0000"/>
    <numFmt numFmtId="174" formatCode="[$-F800]dddd\,\ mmmm\ dd\,\ 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8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11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168" fontId="17" fillId="5" borderId="0" applyNumberFormat="0" applyBorder="0" applyAlignment="0" applyProtection="0"/>
    <xf numFmtId="170" fontId="17" fillId="5" borderId="0" applyNumberFormat="0" applyBorder="0" applyAlignment="0" applyProtection="0"/>
    <xf numFmtId="168" fontId="17" fillId="5" borderId="0" applyNumberFormat="0" applyBorder="0" applyAlignment="0" applyProtection="0"/>
    <xf numFmtId="168" fontId="17" fillId="5" borderId="0" applyNumberFormat="0" applyBorder="0" applyAlignment="0" applyProtection="0"/>
    <xf numFmtId="168" fontId="17" fillId="6" borderId="0" applyNumberFormat="0" applyBorder="0" applyAlignment="0" applyProtection="0"/>
    <xf numFmtId="170" fontId="17" fillId="6" borderId="0" applyNumberFormat="0" applyBorder="0" applyAlignment="0" applyProtection="0"/>
    <xf numFmtId="168" fontId="17" fillId="6" borderId="0" applyNumberFormat="0" applyBorder="0" applyAlignment="0" applyProtection="0"/>
    <xf numFmtId="168" fontId="17" fillId="6" borderId="0" applyNumberFormat="0" applyBorder="0" applyAlignment="0" applyProtection="0"/>
    <xf numFmtId="168" fontId="17" fillId="7" borderId="0" applyNumberFormat="0" applyBorder="0" applyAlignment="0" applyProtection="0"/>
    <xf numFmtId="170" fontId="17" fillId="7" borderId="0" applyNumberFormat="0" applyBorder="0" applyAlignment="0" applyProtection="0"/>
    <xf numFmtId="168" fontId="17" fillId="7" borderId="0" applyNumberFormat="0" applyBorder="0" applyAlignment="0" applyProtection="0"/>
    <xf numFmtId="168" fontId="17" fillId="7" borderId="0" applyNumberFormat="0" applyBorder="0" applyAlignment="0" applyProtection="0"/>
    <xf numFmtId="168" fontId="17" fillId="8" borderId="0" applyNumberFormat="0" applyBorder="0" applyAlignment="0" applyProtection="0"/>
    <xf numFmtId="170" fontId="17" fillId="8" borderId="0" applyNumberFormat="0" applyBorder="0" applyAlignment="0" applyProtection="0"/>
    <xf numFmtId="168" fontId="17" fillId="8" borderId="0" applyNumberFormat="0" applyBorder="0" applyAlignment="0" applyProtection="0"/>
    <xf numFmtId="168" fontId="17" fillId="8" borderId="0" applyNumberFormat="0" applyBorder="0" applyAlignment="0" applyProtection="0"/>
    <xf numFmtId="168" fontId="17" fillId="9" borderId="0" applyNumberFormat="0" applyBorder="0" applyAlignment="0" applyProtection="0"/>
    <xf numFmtId="170" fontId="17" fillId="9" borderId="0" applyNumberFormat="0" applyBorder="0" applyAlignment="0" applyProtection="0"/>
    <xf numFmtId="168" fontId="17" fillId="9" borderId="0" applyNumberFormat="0" applyBorder="0" applyAlignment="0" applyProtection="0"/>
    <xf numFmtId="168" fontId="17" fillId="9" borderId="0" applyNumberFormat="0" applyBorder="0" applyAlignment="0" applyProtection="0"/>
    <xf numFmtId="168" fontId="17" fillId="10" borderId="0" applyNumberFormat="0" applyBorder="0" applyAlignment="0" applyProtection="0"/>
    <xf numFmtId="170" fontId="17" fillId="10" borderId="0" applyNumberFormat="0" applyBorder="0" applyAlignment="0" applyProtection="0"/>
    <xf numFmtId="168" fontId="17" fillId="10" borderId="0" applyNumberFormat="0" applyBorder="0" applyAlignment="0" applyProtection="0"/>
    <xf numFmtId="168" fontId="17" fillId="10" borderId="0" applyNumberFormat="0" applyBorder="0" applyAlignment="0" applyProtection="0"/>
    <xf numFmtId="168" fontId="17" fillId="11" borderId="0" applyNumberFormat="0" applyBorder="0" applyAlignment="0" applyProtection="0"/>
    <xf numFmtId="170" fontId="17" fillId="11" borderId="0" applyNumberFormat="0" applyBorder="0" applyAlignment="0" applyProtection="0"/>
    <xf numFmtId="168" fontId="17" fillId="11" borderId="0" applyNumberFormat="0" applyBorder="0" applyAlignment="0" applyProtection="0"/>
    <xf numFmtId="168" fontId="17" fillId="11" borderId="0" applyNumberFormat="0" applyBorder="0" applyAlignment="0" applyProtection="0"/>
    <xf numFmtId="168" fontId="17" fillId="12" borderId="0" applyNumberFormat="0" applyBorder="0" applyAlignment="0" applyProtection="0"/>
    <xf numFmtId="170" fontId="17" fillId="12" borderId="0" applyNumberFormat="0" applyBorder="0" applyAlignment="0" applyProtection="0"/>
    <xf numFmtId="168" fontId="17" fillId="12" borderId="0" applyNumberFormat="0" applyBorder="0" applyAlignment="0" applyProtection="0"/>
    <xf numFmtId="168" fontId="17" fillId="12" borderId="0" applyNumberFormat="0" applyBorder="0" applyAlignment="0" applyProtection="0"/>
    <xf numFmtId="168" fontId="17" fillId="13" borderId="0" applyNumberFormat="0" applyBorder="0" applyAlignment="0" applyProtection="0"/>
    <xf numFmtId="170" fontId="17" fillId="13" borderId="0" applyNumberFormat="0" applyBorder="0" applyAlignment="0" applyProtection="0"/>
    <xf numFmtId="168" fontId="17" fillId="13" borderId="0" applyNumberFormat="0" applyBorder="0" applyAlignment="0" applyProtection="0"/>
    <xf numFmtId="168" fontId="17" fillId="13" borderId="0" applyNumberFormat="0" applyBorder="0" applyAlignment="0" applyProtection="0"/>
    <xf numFmtId="168" fontId="17" fillId="8" borderId="0" applyNumberFormat="0" applyBorder="0" applyAlignment="0" applyProtection="0"/>
    <xf numFmtId="170" fontId="17" fillId="8" borderId="0" applyNumberFormat="0" applyBorder="0" applyAlignment="0" applyProtection="0"/>
    <xf numFmtId="168" fontId="17" fillId="8" borderId="0" applyNumberFormat="0" applyBorder="0" applyAlignment="0" applyProtection="0"/>
    <xf numFmtId="168" fontId="17" fillId="8" borderId="0" applyNumberFormat="0" applyBorder="0" applyAlignment="0" applyProtection="0"/>
    <xf numFmtId="168" fontId="17" fillId="11" borderId="0" applyNumberFormat="0" applyBorder="0" applyAlignment="0" applyProtection="0"/>
    <xf numFmtId="170" fontId="17" fillId="11" borderId="0" applyNumberFormat="0" applyBorder="0" applyAlignment="0" applyProtection="0"/>
    <xf numFmtId="168" fontId="17" fillId="11" borderId="0" applyNumberFormat="0" applyBorder="0" applyAlignment="0" applyProtection="0"/>
    <xf numFmtId="168" fontId="17" fillId="11" borderId="0" applyNumberFormat="0" applyBorder="0" applyAlignment="0" applyProtection="0"/>
    <xf numFmtId="168" fontId="17" fillId="14" borderId="0" applyNumberFormat="0" applyBorder="0" applyAlignment="0" applyProtection="0"/>
    <xf numFmtId="170" fontId="17" fillId="14" borderId="0" applyNumberFormat="0" applyBorder="0" applyAlignment="0" applyProtection="0"/>
    <xf numFmtId="168" fontId="17" fillId="14" borderId="0" applyNumberFormat="0" applyBorder="0" applyAlignment="0" applyProtection="0"/>
    <xf numFmtId="168" fontId="17" fillId="14" borderId="0" applyNumberFormat="0" applyBorder="0" applyAlignment="0" applyProtection="0"/>
    <xf numFmtId="168" fontId="18" fillId="15" borderId="0" applyNumberFormat="0" applyBorder="0" applyAlignment="0" applyProtection="0"/>
    <xf numFmtId="170" fontId="18" fillId="15" borderId="0" applyNumberFormat="0" applyBorder="0" applyAlignment="0" applyProtection="0"/>
    <xf numFmtId="168" fontId="18" fillId="15" borderId="0" applyNumberFormat="0" applyBorder="0" applyAlignment="0" applyProtection="0"/>
    <xf numFmtId="168" fontId="18" fillId="15" borderId="0" applyNumberFormat="0" applyBorder="0" applyAlignment="0" applyProtection="0"/>
    <xf numFmtId="168" fontId="18" fillId="12" borderId="0" applyNumberFormat="0" applyBorder="0" applyAlignment="0" applyProtection="0"/>
    <xf numFmtId="170" fontId="18" fillId="12" borderId="0" applyNumberFormat="0" applyBorder="0" applyAlignment="0" applyProtection="0"/>
    <xf numFmtId="168" fontId="18" fillId="12" borderId="0" applyNumberFormat="0" applyBorder="0" applyAlignment="0" applyProtection="0"/>
    <xf numFmtId="168" fontId="18" fillId="12" borderId="0" applyNumberFormat="0" applyBorder="0" applyAlignment="0" applyProtection="0"/>
    <xf numFmtId="168" fontId="18" fillId="13" borderId="0" applyNumberFormat="0" applyBorder="0" applyAlignment="0" applyProtection="0"/>
    <xf numFmtId="170" fontId="18" fillId="13" borderId="0" applyNumberFormat="0" applyBorder="0" applyAlignment="0" applyProtection="0"/>
    <xf numFmtId="168" fontId="18" fillId="13" borderId="0" applyNumberFormat="0" applyBorder="0" applyAlignment="0" applyProtection="0"/>
    <xf numFmtId="168" fontId="18" fillId="13" borderId="0" applyNumberFormat="0" applyBorder="0" applyAlignment="0" applyProtection="0"/>
    <xf numFmtId="168" fontId="18" fillId="16" borderId="0" applyNumberFormat="0" applyBorder="0" applyAlignment="0" applyProtection="0"/>
    <xf numFmtId="170" fontId="18" fillId="16" borderId="0" applyNumberFormat="0" applyBorder="0" applyAlignment="0" applyProtection="0"/>
    <xf numFmtId="168" fontId="18" fillId="16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70" fontId="18" fillId="17" borderId="0" applyNumberFormat="0" applyBorder="0" applyAlignment="0" applyProtection="0"/>
    <xf numFmtId="168" fontId="18" fillId="17" borderId="0" applyNumberFormat="0" applyBorder="0" applyAlignment="0" applyProtection="0"/>
    <xf numFmtId="168" fontId="18" fillId="17" borderId="0" applyNumberFormat="0" applyBorder="0" applyAlignment="0" applyProtection="0"/>
    <xf numFmtId="168" fontId="18" fillId="18" borderId="0" applyNumberFormat="0" applyBorder="0" applyAlignment="0" applyProtection="0"/>
    <xf numFmtId="170" fontId="18" fillId="18" borderId="0" applyNumberFormat="0" applyBorder="0" applyAlignment="0" applyProtection="0"/>
    <xf numFmtId="168" fontId="18" fillId="18" borderId="0" applyNumberFormat="0" applyBorder="0" applyAlignment="0" applyProtection="0"/>
    <xf numFmtId="168" fontId="18" fillId="18" borderId="0" applyNumberFormat="0" applyBorder="0" applyAlignment="0" applyProtection="0"/>
    <xf numFmtId="168" fontId="18" fillId="19" borderId="0" applyNumberFormat="0" applyBorder="0" applyAlignment="0" applyProtection="0"/>
    <xf numFmtId="170" fontId="18" fillId="19" borderId="0" applyNumberFormat="0" applyBorder="0" applyAlignment="0" applyProtection="0"/>
    <xf numFmtId="168" fontId="18" fillId="19" borderId="0" applyNumberFormat="0" applyBorder="0" applyAlignment="0" applyProtection="0"/>
    <xf numFmtId="168" fontId="18" fillId="19" borderId="0" applyNumberFormat="0" applyBorder="0" applyAlignment="0" applyProtection="0"/>
    <xf numFmtId="168" fontId="18" fillId="20" borderId="0" applyNumberFormat="0" applyBorder="0" applyAlignment="0" applyProtection="0"/>
    <xf numFmtId="170" fontId="18" fillId="20" borderId="0" applyNumberFormat="0" applyBorder="0" applyAlignment="0" applyProtection="0"/>
    <xf numFmtId="168" fontId="18" fillId="20" borderId="0" applyNumberFormat="0" applyBorder="0" applyAlignment="0" applyProtection="0"/>
    <xf numFmtId="168" fontId="18" fillId="20" borderId="0" applyNumberFormat="0" applyBorder="0" applyAlignment="0" applyProtection="0"/>
    <xf numFmtId="168" fontId="18" fillId="21" borderId="0" applyNumberFormat="0" applyBorder="0" applyAlignment="0" applyProtection="0"/>
    <xf numFmtId="170" fontId="18" fillId="21" borderId="0" applyNumberFormat="0" applyBorder="0" applyAlignment="0" applyProtection="0"/>
    <xf numFmtId="168" fontId="18" fillId="21" borderId="0" applyNumberFormat="0" applyBorder="0" applyAlignment="0" applyProtection="0"/>
    <xf numFmtId="168" fontId="18" fillId="21" borderId="0" applyNumberFormat="0" applyBorder="0" applyAlignment="0" applyProtection="0"/>
    <xf numFmtId="168" fontId="18" fillId="16" borderId="0" applyNumberFormat="0" applyBorder="0" applyAlignment="0" applyProtection="0"/>
    <xf numFmtId="170" fontId="18" fillId="16" borderId="0" applyNumberFormat="0" applyBorder="0" applyAlignment="0" applyProtection="0"/>
    <xf numFmtId="168" fontId="18" fillId="16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70" fontId="18" fillId="17" borderId="0" applyNumberFormat="0" applyBorder="0" applyAlignment="0" applyProtection="0"/>
    <xf numFmtId="168" fontId="18" fillId="17" borderId="0" applyNumberFormat="0" applyBorder="0" applyAlignment="0" applyProtection="0"/>
    <xf numFmtId="168" fontId="18" fillId="17" borderId="0" applyNumberFormat="0" applyBorder="0" applyAlignment="0" applyProtection="0"/>
    <xf numFmtId="168" fontId="18" fillId="22" borderId="0" applyNumberFormat="0" applyBorder="0" applyAlignment="0" applyProtection="0"/>
    <xf numFmtId="170" fontId="18" fillId="22" borderId="0" applyNumberFormat="0" applyBorder="0" applyAlignment="0" applyProtection="0"/>
    <xf numFmtId="168" fontId="18" fillId="22" borderId="0" applyNumberFormat="0" applyBorder="0" applyAlignment="0" applyProtection="0"/>
    <xf numFmtId="168" fontId="18" fillId="22" borderId="0" applyNumberFormat="0" applyBorder="0" applyAlignment="0" applyProtection="0"/>
    <xf numFmtId="168" fontId="19" fillId="6" borderId="0" applyNumberFormat="0" applyBorder="0" applyAlignment="0" applyProtection="0"/>
    <xf numFmtId="170" fontId="19" fillId="6" borderId="0" applyNumberFormat="0" applyBorder="0" applyAlignment="0" applyProtection="0"/>
    <xf numFmtId="168" fontId="19" fillId="6" borderId="0" applyNumberFormat="0" applyBorder="0" applyAlignment="0" applyProtection="0"/>
    <xf numFmtId="168" fontId="19" fillId="6" borderId="0" applyNumberFormat="0" applyBorder="0" applyAlignment="0" applyProtection="0"/>
    <xf numFmtId="168" fontId="20" fillId="23" borderId="57" applyNumberFormat="0" applyAlignment="0" applyProtection="0"/>
    <xf numFmtId="170" fontId="20" fillId="23" borderId="57" applyNumberFormat="0" applyAlignment="0" applyProtection="0"/>
    <xf numFmtId="168" fontId="20" fillId="23" borderId="57" applyNumberFormat="0" applyAlignment="0" applyProtection="0"/>
    <xf numFmtId="168" fontId="20" fillId="23" borderId="57" applyNumberFormat="0" applyAlignment="0" applyProtection="0"/>
    <xf numFmtId="168" fontId="21" fillId="24" borderId="58" applyNumberFormat="0" applyAlignment="0" applyProtection="0"/>
    <xf numFmtId="170" fontId="21" fillId="24" borderId="58" applyNumberFormat="0" applyAlignment="0" applyProtection="0"/>
    <xf numFmtId="168" fontId="21" fillId="24" borderId="58" applyNumberFormat="0" applyAlignment="0" applyProtection="0"/>
    <xf numFmtId="168" fontId="21" fillId="24" borderId="58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22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8" fontId="23" fillId="7" borderId="0" applyNumberFormat="0" applyBorder="0" applyAlignment="0" applyProtection="0"/>
    <xf numFmtId="170" fontId="23" fillId="7" borderId="0" applyNumberFormat="0" applyBorder="0" applyAlignment="0" applyProtection="0"/>
    <xf numFmtId="168" fontId="23" fillId="7" borderId="0" applyNumberFormat="0" applyBorder="0" applyAlignment="0" applyProtection="0"/>
    <xf numFmtId="168" fontId="23" fillId="7" borderId="0" applyNumberFormat="0" applyBorder="0" applyAlignment="0" applyProtection="0"/>
    <xf numFmtId="168" fontId="24" fillId="0" borderId="59" applyNumberFormat="0" applyFill="0" applyAlignment="0" applyProtection="0"/>
    <xf numFmtId="170" fontId="24" fillId="0" borderId="59" applyNumberFormat="0" applyFill="0" applyAlignment="0" applyProtection="0"/>
    <xf numFmtId="168" fontId="24" fillId="0" borderId="59" applyNumberFormat="0" applyFill="0" applyAlignment="0" applyProtection="0"/>
    <xf numFmtId="168" fontId="24" fillId="0" borderId="59" applyNumberFormat="0" applyFill="0" applyAlignment="0" applyProtection="0"/>
    <xf numFmtId="168" fontId="25" fillId="0" borderId="60" applyNumberFormat="0" applyFill="0" applyAlignment="0" applyProtection="0"/>
    <xf numFmtId="170" fontId="25" fillId="0" borderId="60" applyNumberFormat="0" applyFill="0" applyAlignment="0" applyProtection="0"/>
    <xf numFmtId="168" fontId="25" fillId="0" borderId="60" applyNumberFormat="0" applyFill="0" applyAlignment="0" applyProtection="0"/>
    <xf numFmtId="168" fontId="25" fillId="0" borderId="60" applyNumberFormat="0" applyFill="0" applyAlignment="0" applyProtection="0"/>
    <xf numFmtId="168" fontId="26" fillId="0" borderId="61" applyNumberFormat="0" applyFill="0" applyAlignment="0" applyProtection="0"/>
    <xf numFmtId="170" fontId="26" fillId="0" borderId="61" applyNumberFormat="0" applyFill="0" applyAlignment="0" applyProtection="0"/>
    <xf numFmtId="168" fontId="26" fillId="0" borderId="61" applyNumberFormat="0" applyFill="0" applyAlignment="0" applyProtection="0"/>
    <xf numFmtId="168" fontId="26" fillId="0" borderId="61" applyNumberFormat="0" applyFill="0" applyAlignment="0" applyProtection="0"/>
    <xf numFmtId="168" fontId="26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168" fontId="26" fillId="0" borderId="0" applyNumberFormat="0" applyFill="0" applyBorder="0" applyAlignment="0" applyProtection="0"/>
    <xf numFmtId="168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8" fontId="1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68" fontId="16" fillId="0" borderId="0" applyNumberFormat="0" applyFill="0" applyBorder="0" applyAlignment="0" applyProtection="0">
      <alignment vertical="top"/>
      <protection locked="0"/>
    </xf>
    <xf numFmtId="168" fontId="27" fillId="10" borderId="57" applyNumberFormat="0" applyAlignment="0" applyProtection="0"/>
    <xf numFmtId="170" fontId="27" fillId="10" borderId="57" applyNumberFormat="0" applyAlignment="0" applyProtection="0"/>
    <xf numFmtId="168" fontId="27" fillId="10" borderId="57" applyNumberFormat="0" applyAlignment="0" applyProtection="0"/>
    <xf numFmtId="168" fontId="27" fillId="10" borderId="57" applyNumberFormat="0" applyAlignment="0" applyProtection="0"/>
    <xf numFmtId="168" fontId="28" fillId="0" borderId="62" applyNumberFormat="0" applyFill="0" applyAlignment="0" applyProtection="0"/>
    <xf numFmtId="170" fontId="28" fillId="0" borderId="62" applyNumberFormat="0" applyFill="0" applyAlignment="0" applyProtection="0"/>
    <xf numFmtId="168" fontId="28" fillId="0" borderId="62" applyNumberFormat="0" applyFill="0" applyAlignment="0" applyProtection="0"/>
    <xf numFmtId="168" fontId="28" fillId="0" borderId="62" applyNumberFormat="0" applyFill="0" applyAlignment="0" applyProtection="0"/>
    <xf numFmtId="168" fontId="29" fillId="25" borderId="0" applyNumberFormat="0" applyBorder="0" applyAlignment="0" applyProtection="0"/>
    <xf numFmtId="170" fontId="29" fillId="25" borderId="0" applyNumberFormat="0" applyBorder="0" applyAlignment="0" applyProtection="0"/>
    <xf numFmtId="168" fontId="29" fillId="25" borderId="0" applyNumberFormat="0" applyBorder="0" applyAlignment="0" applyProtection="0"/>
    <xf numFmtId="168" fontId="29" fillId="25" borderId="0" applyNumberFormat="0" applyBorder="0" applyAlignment="0" applyProtection="0"/>
    <xf numFmtId="168" fontId="15" fillId="0" borderId="0"/>
    <xf numFmtId="0" fontId="1" fillId="0" borderId="0"/>
    <xf numFmtId="0" fontId="1" fillId="0" borderId="0"/>
    <xf numFmtId="168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70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70" fontId="15" fillId="0" borderId="0"/>
    <xf numFmtId="16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5" fillId="0" borderId="0"/>
    <xf numFmtId="168" fontId="15" fillId="0" borderId="0"/>
    <xf numFmtId="168" fontId="15" fillId="0" borderId="0"/>
    <xf numFmtId="168" fontId="15" fillId="26" borderId="63" applyNumberFormat="0" applyFont="0" applyAlignment="0" applyProtection="0"/>
    <xf numFmtId="168" fontId="15" fillId="26" borderId="63" applyNumberFormat="0" applyFont="0" applyAlignment="0" applyProtection="0"/>
    <xf numFmtId="170" fontId="15" fillId="26" borderId="63" applyNumberFormat="0" applyFont="0" applyAlignment="0" applyProtection="0"/>
    <xf numFmtId="168" fontId="15" fillId="26" borderId="63" applyNumberFormat="0" applyFont="0" applyAlignment="0" applyProtection="0"/>
    <xf numFmtId="168" fontId="15" fillId="26" borderId="63" applyNumberFormat="0" applyFont="0" applyAlignment="0" applyProtection="0"/>
    <xf numFmtId="168" fontId="30" fillId="23" borderId="64" applyNumberFormat="0" applyAlignment="0" applyProtection="0"/>
    <xf numFmtId="170" fontId="30" fillId="23" borderId="64" applyNumberFormat="0" applyAlignment="0" applyProtection="0"/>
    <xf numFmtId="168" fontId="30" fillId="23" borderId="64" applyNumberFormat="0" applyAlignment="0" applyProtection="0"/>
    <xf numFmtId="168" fontId="30" fillId="23" borderId="64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1" fillId="0" borderId="0" applyNumberFormat="0" applyFill="0" applyBorder="0" applyAlignment="0" applyProtection="0"/>
    <xf numFmtId="170" fontId="31" fillId="0" borderId="0" applyNumberFormat="0" applyFill="0" applyBorder="0" applyAlignment="0" applyProtection="0"/>
    <xf numFmtId="168" fontId="31" fillId="0" borderId="0" applyNumberFormat="0" applyFill="0" applyBorder="0" applyAlignment="0" applyProtection="0"/>
    <xf numFmtId="168" fontId="31" fillId="0" borderId="0" applyNumberFormat="0" applyFill="0" applyBorder="0" applyAlignment="0" applyProtection="0"/>
    <xf numFmtId="168" fontId="32" fillId="0" borderId="65" applyNumberFormat="0" applyFill="0" applyAlignment="0" applyProtection="0"/>
    <xf numFmtId="170" fontId="32" fillId="0" borderId="65" applyNumberFormat="0" applyFill="0" applyAlignment="0" applyProtection="0"/>
    <xf numFmtId="168" fontId="32" fillId="0" borderId="65" applyNumberFormat="0" applyFill="0" applyAlignment="0" applyProtection="0"/>
    <xf numFmtId="168" fontId="32" fillId="0" borderId="65" applyNumberFormat="0" applyFill="0" applyAlignment="0" applyProtection="0"/>
    <xf numFmtId="168" fontId="33" fillId="0" borderId="0" applyNumberFormat="0" applyFill="0" applyBorder="0" applyAlignment="0" applyProtection="0"/>
    <xf numFmtId="170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</cellStyleXfs>
  <cellXfs count="261">
    <xf numFmtId="0" fontId="0" fillId="0" borderId="0" xfId="0"/>
    <xf numFmtId="0" fontId="0" fillId="2" borderId="0" xfId="0" applyFill="1"/>
    <xf numFmtId="0" fontId="3" fillId="2" borderId="22" xfId="0" applyFont="1" applyFill="1" applyBorder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/>
    <xf numFmtId="1" fontId="9" fillId="2" borderId="5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 vertical="center"/>
    </xf>
    <xf numFmtId="1" fontId="9" fillId="2" borderId="46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/>
    </xf>
    <xf numFmtId="1" fontId="9" fillId="2" borderId="14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1" fontId="9" fillId="2" borderId="4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0" fillId="2" borderId="0" xfId="0" applyNumberFormat="1" applyFill="1"/>
    <xf numFmtId="0" fontId="9" fillId="2" borderId="0" xfId="0" applyFont="1" applyFill="1"/>
    <xf numFmtId="0" fontId="3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47" xfId="0" applyNumberFormat="1" applyFill="1" applyBorder="1" applyAlignment="1">
      <alignment horizontal="center"/>
    </xf>
    <xf numFmtId="3" fontId="0" fillId="2" borderId="0" xfId="0" applyNumberFormat="1" applyFill="1"/>
    <xf numFmtId="3" fontId="0" fillId="2" borderId="14" xfId="0" applyNumberFormat="1" applyFill="1" applyBorder="1" applyAlignment="1">
      <alignment horizontal="center"/>
    </xf>
    <xf numFmtId="17" fontId="0" fillId="2" borderId="15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/>
    </xf>
    <xf numFmtId="17" fontId="0" fillId="2" borderId="5" xfId="0" applyNumberFormat="1" applyFill="1" applyBorder="1" applyAlignment="1">
      <alignment horizontal="center" vertical="center"/>
    </xf>
    <xf numFmtId="17" fontId="0" fillId="2" borderId="17" xfId="0" applyNumberFormat="1" applyFill="1" applyBorder="1" applyAlignment="1">
      <alignment horizontal="center" vertical="center"/>
    </xf>
    <xf numFmtId="3" fontId="2" fillId="3" borderId="43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34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2" borderId="36" xfId="0" applyFill="1" applyBorder="1"/>
    <xf numFmtId="0" fontId="0" fillId="2" borderId="25" xfId="0" applyFill="1" applyBorder="1"/>
    <xf numFmtId="0" fontId="0" fillId="2" borderId="26" xfId="0" applyFill="1" applyBorder="1"/>
    <xf numFmtId="0" fontId="4" fillId="4" borderId="3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" fillId="4" borderId="10" xfId="0" applyFont="1" applyFill="1" applyBorder="1"/>
    <xf numFmtId="17" fontId="2" fillId="4" borderId="44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17" fontId="5" fillId="4" borderId="10" xfId="0" applyNumberFormat="1" applyFont="1" applyFill="1" applyBorder="1" applyAlignment="1">
      <alignment horizontal="center" vertical="center"/>
    </xf>
    <xf numFmtId="0" fontId="11" fillId="4" borderId="26" xfId="0" applyFont="1" applyFill="1" applyBorder="1"/>
    <xf numFmtId="1" fontId="9" fillId="2" borderId="23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42" xfId="0" applyFill="1" applyBorder="1"/>
    <xf numFmtId="0" fontId="0" fillId="2" borderId="52" xfId="0" applyFill="1" applyBorder="1"/>
    <xf numFmtId="0" fontId="0" fillId="2" borderId="53" xfId="0" applyFill="1" applyBorder="1"/>
    <xf numFmtId="0" fontId="0" fillId="2" borderId="38" xfId="0" applyFill="1" applyBorder="1"/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2" borderId="22" xfId="0" applyFill="1" applyBorder="1"/>
    <xf numFmtId="0" fontId="2" fillId="2" borderId="22" xfId="0" applyFont="1" applyFill="1" applyBorder="1"/>
    <xf numFmtId="0" fontId="11" fillId="0" borderId="0" xfId="0" applyFont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1" fontId="4" fillId="4" borderId="43" xfId="0" applyNumberFormat="1" applyFont="1" applyFill="1" applyBorder="1" applyAlignment="1">
      <alignment horizontal="center" vertical="center"/>
    </xf>
    <xf numFmtId="1" fontId="3" fillId="4" borderId="43" xfId="0" applyNumberFormat="1" applyFont="1" applyFill="1" applyBorder="1" applyAlignment="1">
      <alignment horizontal="center" vertical="center"/>
    </xf>
    <xf numFmtId="17" fontId="4" fillId="2" borderId="30" xfId="0" applyNumberFormat="1" applyFont="1" applyFill="1" applyBorder="1" applyAlignment="1">
      <alignment horizontal="center" vertical="center"/>
    </xf>
    <xf numFmtId="17" fontId="4" fillId="2" borderId="40" xfId="0" applyNumberFormat="1" applyFont="1" applyFill="1" applyBorder="1" applyAlignment="1">
      <alignment horizontal="center" vertical="center"/>
    </xf>
    <xf numFmtId="17" fontId="4" fillId="2" borderId="35" xfId="0" applyNumberFormat="1" applyFont="1" applyFill="1" applyBorder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/>
    </xf>
    <xf numFmtId="0" fontId="2" fillId="4" borderId="44" xfId="0" applyFont="1" applyFill="1" applyBorder="1" applyAlignment="1">
      <alignment horizontal="left"/>
    </xf>
    <xf numFmtId="0" fontId="2" fillId="4" borderId="44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21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2" fillId="4" borderId="9" xfId="0" applyFont="1" applyFill="1" applyBorder="1"/>
    <xf numFmtId="17" fontId="2" fillId="4" borderId="49" xfId="0" applyNumberFormat="1" applyFont="1" applyFill="1" applyBorder="1" applyAlignment="1">
      <alignment horizontal="center" vertical="center"/>
    </xf>
    <xf numFmtId="17" fontId="4" fillId="4" borderId="28" xfId="0" applyNumberFormat="1" applyFont="1" applyFill="1" applyBorder="1" applyAlignment="1">
      <alignment horizontal="center" vertical="center" wrapText="1"/>
    </xf>
    <xf numFmtId="17" fontId="4" fillId="4" borderId="28" xfId="0" applyNumberFormat="1" applyFont="1" applyFill="1" applyBorder="1" applyAlignment="1">
      <alignment horizontal="center" vertical="center"/>
    </xf>
    <xf numFmtId="17" fontId="4" fillId="4" borderId="24" xfId="0" applyNumberFormat="1" applyFont="1" applyFill="1" applyBorder="1" applyAlignment="1">
      <alignment horizontal="center" vertical="center" wrapText="1"/>
    </xf>
    <xf numFmtId="167" fontId="0" fillId="2" borderId="0" xfId="0" applyNumberFormat="1" applyFill="1"/>
    <xf numFmtId="167" fontId="4" fillId="4" borderId="43" xfId="0" applyNumberFormat="1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/>
    </xf>
    <xf numFmtId="167" fontId="2" fillId="3" borderId="43" xfId="0" applyNumberFormat="1" applyFont="1" applyFill="1" applyBorder="1" applyAlignment="1">
      <alignment horizontal="center"/>
    </xf>
    <xf numFmtId="167" fontId="2" fillId="3" borderId="34" xfId="0" applyNumberFormat="1" applyFont="1" applyFill="1" applyBorder="1" applyAlignment="1">
      <alignment horizontal="center"/>
    </xf>
    <xf numFmtId="17" fontId="2" fillId="4" borderId="10" xfId="0" applyNumberFormat="1" applyFont="1" applyFill="1" applyBorder="1" applyAlignment="1">
      <alignment horizontal="center" vertical="center"/>
    </xf>
    <xf numFmtId="3" fontId="2" fillId="4" borderId="43" xfId="0" applyNumberFormat="1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top"/>
    </xf>
    <xf numFmtId="3" fontId="0" fillId="2" borderId="44" xfId="0" applyNumberFormat="1" applyFill="1" applyBorder="1" applyAlignment="1">
      <alignment horizontal="center"/>
    </xf>
    <xf numFmtId="3" fontId="0" fillId="2" borderId="45" xfId="0" applyNumberFormat="1" applyFill="1" applyBorder="1" applyAlignment="1">
      <alignment horizontal="center"/>
    </xf>
    <xf numFmtId="17" fontId="2" fillId="4" borderId="23" xfId="0" applyNumberFormat="1" applyFont="1" applyFill="1" applyBorder="1" applyAlignment="1">
      <alignment horizontal="center" vertical="center"/>
    </xf>
    <xf numFmtId="17" fontId="2" fillId="4" borderId="50" xfId="0" applyNumberFormat="1" applyFont="1" applyFill="1" applyBorder="1" applyAlignment="1">
      <alignment horizontal="center" vertical="center"/>
    </xf>
    <xf numFmtId="17" fontId="2" fillId="4" borderId="45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7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171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0" fontId="3" fillId="4" borderId="55" xfId="0" applyFont="1" applyFill="1" applyBorder="1"/>
    <xf numFmtId="171" fontId="0" fillId="0" borderId="14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71" fontId="0" fillId="0" borderId="67" xfId="0" applyNumberFormat="1" applyBorder="1" applyAlignment="1">
      <alignment horizontal="center" vertical="center"/>
    </xf>
    <xf numFmtId="171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2" fillId="4" borderId="22" xfId="0" applyFont="1" applyFill="1" applyBorder="1"/>
    <xf numFmtId="1" fontId="0" fillId="2" borderId="66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69" xfId="0" applyNumberFormat="1" applyFill="1" applyBorder="1" applyAlignment="1">
      <alignment horizontal="center" vertical="center"/>
    </xf>
    <xf numFmtId="1" fontId="9" fillId="0" borderId="49" xfId="0" applyNumberFormat="1" applyFont="1" applyBorder="1" applyAlignment="1">
      <alignment horizontal="center"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71" fontId="0" fillId="0" borderId="1" xfId="0" applyNumberFormat="1" applyBorder="1" applyAlignment="1">
      <alignment horizontal="center"/>
    </xf>
    <xf numFmtId="171" fontId="8" fillId="0" borderId="1" xfId="0" applyNumberFormat="1" applyFont="1" applyBorder="1" applyAlignment="1">
      <alignment horizontal="center" vertical="center"/>
    </xf>
    <xf numFmtId="171" fontId="0" fillId="0" borderId="13" xfId="0" applyNumberFormat="1" applyBorder="1" applyAlignment="1">
      <alignment horizontal="center"/>
    </xf>
    <xf numFmtId="3" fontId="0" fillId="2" borderId="70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3" fontId="0" fillId="2" borderId="40" xfId="0" applyNumberFormat="1" applyFill="1" applyBorder="1" applyAlignment="1">
      <alignment horizontal="center"/>
    </xf>
    <xf numFmtId="3" fontId="2" fillId="4" borderId="34" xfId="0" applyNumberFormat="1" applyFon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3" fontId="0" fillId="2" borderId="71" xfId="0" applyNumberFormat="1" applyFill="1" applyBorder="1" applyAlignment="1">
      <alignment horizontal="center"/>
    </xf>
    <xf numFmtId="1" fontId="9" fillId="0" borderId="29" xfId="0" applyNumberFormat="1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2" fillId="4" borderId="39" xfId="0" applyFont="1" applyFill="1" applyBorder="1"/>
    <xf numFmtId="0" fontId="2" fillId="2" borderId="2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3" fontId="0" fillId="2" borderId="5" xfId="0" applyNumberFormat="1" applyFill="1" applyBorder="1"/>
    <xf numFmtId="0" fontId="0" fillId="2" borderId="6" xfId="0" applyFill="1" applyBorder="1"/>
    <xf numFmtId="0" fontId="0" fillId="2" borderId="5" xfId="0" applyFill="1" applyBorder="1"/>
    <xf numFmtId="3" fontId="0" fillId="2" borderId="7" xfId="0" applyNumberFormat="1" applyFill="1" applyBorder="1"/>
    <xf numFmtId="0" fontId="0" fillId="2" borderId="9" xfId="0" applyFill="1" applyBorder="1"/>
    <xf numFmtId="0" fontId="2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3" fontId="0" fillId="2" borderId="46" xfId="0" applyNumberFormat="1" applyFill="1" applyBorder="1" applyAlignment="1">
      <alignment horizontal="center"/>
    </xf>
    <xf numFmtId="3" fontId="0" fillId="2" borderId="73" xfId="0" applyNumberFormat="1" applyFill="1" applyBorder="1" applyAlignment="1">
      <alignment horizontal="center"/>
    </xf>
    <xf numFmtId="3" fontId="0" fillId="2" borderId="74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50" xfId="0" applyNumberFormat="1" applyFill="1" applyBorder="1" applyAlignment="1">
      <alignment horizontal="center"/>
    </xf>
    <xf numFmtId="167" fontId="0" fillId="2" borderId="46" xfId="0" applyNumberFormat="1" applyFill="1" applyBorder="1" applyAlignment="1">
      <alignment horizontal="center"/>
    </xf>
    <xf numFmtId="167" fontId="0" fillId="2" borderId="73" xfId="0" applyNumberFormat="1" applyFill="1" applyBorder="1" applyAlignment="1">
      <alignment horizontal="center"/>
    </xf>
    <xf numFmtId="167" fontId="0" fillId="2" borderId="74" xfId="0" applyNumberFormat="1" applyFill="1" applyBorder="1" applyAlignment="1">
      <alignment horizontal="center"/>
    </xf>
    <xf numFmtId="167" fontId="0" fillId="2" borderId="18" xfId="0" applyNumberFormat="1" applyFill="1" applyBorder="1" applyAlignment="1">
      <alignment horizontal="center"/>
    </xf>
    <xf numFmtId="3" fontId="2" fillId="4" borderId="75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1" fontId="9" fillId="2" borderId="13" xfId="0" applyNumberFormat="1" applyFont="1" applyFill="1" applyBorder="1" applyAlignment="1">
      <alignment horizontal="center"/>
    </xf>
    <xf numFmtId="1" fontId="9" fillId="2" borderId="47" xfId="0" applyNumberFormat="1" applyFont="1" applyFill="1" applyBorder="1" applyAlignment="1">
      <alignment horizontal="center"/>
    </xf>
    <xf numFmtId="1" fontId="9" fillId="2" borderId="47" xfId="0" applyNumberFormat="1" applyFont="1" applyFill="1" applyBorder="1" applyAlignment="1">
      <alignment horizontal="center" vertical="center"/>
    </xf>
    <xf numFmtId="1" fontId="9" fillId="2" borderId="73" xfId="0" applyNumberFormat="1" applyFont="1" applyFill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2" borderId="37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74" xfId="0" applyNumberFormat="1" applyFont="1" applyFill="1" applyBorder="1" applyAlignment="1">
      <alignment horizontal="center" vertical="center"/>
    </xf>
    <xf numFmtId="172" fontId="0" fillId="2" borderId="1" xfId="0" applyNumberFormat="1" applyFill="1" applyBorder="1" applyAlignment="1">
      <alignment horizontal="center"/>
    </xf>
    <xf numFmtId="172" fontId="0" fillId="2" borderId="13" xfId="0" applyNumberFormat="1" applyFill="1" applyBorder="1" applyAlignment="1">
      <alignment horizontal="center"/>
    </xf>
    <xf numFmtId="172" fontId="0" fillId="2" borderId="3" xfId="0" applyNumberFormat="1" applyFill="1" applyBorder="1" applyAlignment="1">
      <alignment horizontal="center"/>
    </xf>
    <xf numFmtId="172" fontId="0" fillId="2" borderId="8" xfId="0" applyNumberFormat="1" applyFill="1" applyBorder="1" applyAlignment="1">
      <alignment horizontal="center"/>
    </xf>
    <xf numFmtId="17" fontId="4" fillId="2" borderId="71" xfId="0" applyNumberFormat="1" applyFont="1" applyFill="1" applyBorder="1" applyAlignment="1">
      <alignment horizontal="center" vertical="center"/>
    </xf>
    <xf numFmtId="17" fontId="4" fillId="2" borderId="70" xfId="0" applyNumberFormat="1" applyFont="1" applyFill="1" applyBorder="1" applyAlignment="1">
      <alignment horizontal="center" vertical="center"/>
    </xf>
    <xf numFmtId="1" fontId="0" fillId="2" borderId="36" xfId="0" applyNumberFormat="1" applyFill="1" applyBorder="1"/>
    <xf numFmtId="3" fontId="2" fillId="0" borderId="74" xfId="0" applyNumberFormat="1" applyFont="1" applyBorder="1"/>
    <xf numFmtId="3" fontId="2" fillId="0" borderId="46" xfId="0" applyNumberFormat="1" applyFont="1" applyBorder="1"/>
    <xf numFmtId="10" fontId="2" fillId="0" borderId="18" xfId="1" applyNumberFormat="1" applyFont="1" applyBorder="1"/>
    <xf numFmtId="173" fontId="2" fillId="0" borderId="46" xfId="0" applyNumberFormat="1" applyFont="1" applyBorder="1"/>
    <xf numFmtId="0" fontId="39" fillId="2" borderId="23" xfId="2" applyFont="1" applyFill="1" applyBorder="1" applyAlignment="1" applyProtection="1">
      <alignment horizontal="left" vertical="center"/>
      <protection locked="0"/>
    </xf>
    <xf numFmtId="0" fontId="39" fillId="2" borderId="44" xfId="2" applyFont="1" applyFill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>
      <alignment vertical="center"/>
    </xf>
    <xf numFmtId="165" fontId="2" fillId="2" borderId="44" xfId="0" applyNumberFormat="1" applyFont="1" applyFill="1" applyBorder="1" applyAlignment="1">
      <alignment horizontal="left" vertical="center"/>
    </xf>
    <xf numFmtId="166" fontId="2" fillId="2" borderId="44" xfId="0" applyNumberFormat="1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9" fontId="41" fillId="2" borderId="45" xfId="1" applyFont="1" applyFill="1" applyBorder="1" applyAlignment="1"/>
    <xf numFmtId="10" fontId="0" fillId="2" borderId="0" xfId="1" applyNumberFormat="1" applyFont="1" applyFill="1"/>
    <xf numFmtId="0" fontId="2" fillId="4" borderId="23" xfId="0" applyFont="1" applyFill="1" applyBorder="1" applyAlignment="1">
      <alignment horizontal="left" vertical="center"/>
    </xf>
    <xf numFmtId="174" fontId="2" fillId="0" borderId="46" xfId="0" applyNumberFormat="1" applyFont="1" applyBorder="1"/>
    <xf numFmtId="3" fontId="2" fillId="2" borderId="19" xfId="0" applyNumberFormat="1" applyFont="1" applyFill="1" applyBorder="1" applyAlignment="1">
      <alignment horizontal="center"/>
    </xf>
    <xf numFmtId="3" fontId="2" fillId="2" borderId="21" xfId="0" applyNumberFormat="1" applyFont="1" applyFill="1" applyBorder="1" applyAlignment="1">
      <alignment horizontal="center"/>
    </xf>
    <xf numFmtId="3" fontId="2" fillId="2" borderId="3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3" fontId="2" fillId="2" borderId="51" xfId="0" applyNumberFormat="1" applyFont="1" applyFill="1" applyBorder="1" applyAlignment="1">
      <alignment horizontal="center"/>
    </xf>
    <xf numFmtId="3" fontId="2" fillId="2" borderId="54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48" xfId="0" applyNumberFormat="1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7" fontId="2" fillId="3" borderId="31" xfId="0" applyNumberFormat="1" applyFont="1" applyFill="1" applyBorder="1" applyAlignment="1">
      <alignment horizontal="center" vertical="center"/>
    </xf>
    <xf numFmtId="17" fontId="2" fillId="3" borderId="20" xfId="0" applyNumberFormat="1" applyFont="1" applyFill="1" applyBorder="1" applyAlignment="1">
      <alignment horizontal="center" vertical="center"/>
    </xf>
    <xf numFmtId="17" fontId="2" fillId="3" borderId="33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3" fontId="3" fillId="4" borderId="26" xfId="0" applyNumberFormat="1" applyFont="1" applyFill="1" applyBorder="1" applyAlignment="1">
      <alignment horizontal="center" vertical="center"/>
    </xf>
    <xf numFmtId="3" fontId="3" fillId="4" borderId="36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1" fontId="3" fillId="4" borderId="28" xfId="0" applyNumberFormat="1" applyFont="1" applyFill="1" applyBorder="1" applyAlignment="1">
      <alignment horizontal="center" vertical="center"/>
    </xf>
    <xf numFmtId="1" fontId="3" fillId="4" borderId="37" xfId="0" applyNumberFormat="1" applyFont="1" applyFill="1" applyBorder="1" applyAlignment="1">
      <alignment horizontal="center" vertical="center"/>
    </xf>
    <xf numFmtId="1" fontId="3" fillId="4" borderId="29" xfId="0" applyNumberFormat="1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1" fontId="3" fillId="4" borderId="50" xfId="0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" fontId="3" fillId="4" borderId="49" xfId="0" applyNumberFormat="1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7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</cellXfs>
  <cellStyles count="211">
    <cellStyle name="20% - Accent1 2" xfId="4" xr:uid="{00000000-0005-0000-0000-000000000000}"/>
    <cellStyle name="20% - Accent1 3" xfId="5" xr:uid="{00000000-0005-0000-0000-000001000000}"/>
    <cellStyle name="20% - Accent1 4" xfId="6" xr:uid="{00000000-0005-0000-0000-000002000000}"/>
    <cellStyle name="20% - Accent1 5" xfId="7" xr:uid="{00000000-0005-0000-0000-000003000000}"/>
    <cellStyle name="20% - Accent2 2" xfId="8" xr:uid="{00000000-0005-0000-0000-000004000000}"/>
    <cellStyle name="20% - Accent2 3" xfId="9" xr:uid="{00000000-0005-0000-0000-000005000000}"/>
    <cellStyle name="20% - Accent2 4" xfId="10" xr:uid="{00000000-0005-0000-0000-000006000000}"/>
    <cellStyle name="20% - Accent2 5" xfId="11" xr:uid="{00000000-0005-0000-0000-000007000000}"/>
    <cellStyle name="20% - Accent3 2" xfId="12" xr:uid="{00000000-0005-0000-0000-000008000000}"/>
    <cellStyle name="20% - Accent3 3" xfId="13" xr:uid="{00000000-0005-0000-0000-000009000000}"/>
    <cellStyle name="20% - Accent3 4" xfId="14" xr:uid="{00000000-0005-0000-0000-00000A000000}"/>
    <cellStyle name="20% - Accent3 5" xfId="15" xr:uid="{00000000-0005-0000-0000-00000B000000}"/>
    <cellStyle name="20% - Accent4 2" xfId="16" xr:uid="{00000000-0005-0000-0000-00000C000000}"/>
    <cellStyle name="20% - Accent4 3" xfId="17" xr:uid="{00000000-0005-0000-0000-00000D000000}"/>
    <cellStyle name="20% - Accent4 4" xfId="18" xr:uid="{00000000-0005-0000-0000-00000E000000}"/>
    <cellStyle name="20% - Accent4 5" xfId="19" xr:uid="{00000000-0005-0000-0000-00000F000000}"/>
    <cellStyle name="20% - Accent5 2" xfId="20" xr:uid="{00000000-0005-0000-0000-000010000000}"/>
    <cellStyle name="20% - Accent5 3" xfId="21" xr:uid="{00000000-0005-0000-0000-000011000000}"/>
    <cellStyle name="20% - Accent5 4" xfId="22" xr:uid="{00000000-0005-0000-0000-000012000000}"/>
    <cellStyle name="20% - Accent5 5" xfId="23" xr:uid="{00000000-0005-0000-0000-000013000000}"/>
    <cellStyle name="20% - Accent6 2" xfId="24" xr:uid="{00000000-0005-0000-0000-000014000000}"/>
    <cellStyle name="20% - Accent6 3" xfId="25" xr:uid="{00000000-0005-0000-0000-000015000000}"/>
    <cellStyle name="20% - Accent6 4" xfId="26" xr:uid="{00000000-0005-0000-0000-000016000000}"/>
    <cellStyle name="20% - Accent6 5" xfId="27" xr:uid="{00000000-0005-0000-0000-000017000000}"/>
    <cellStyle name="40% - Accent1 2" xfId="28" xr:uid="{00000000-0005-0000-0000-000018000000}"/>
    <cellStyle name="40% - Accent1 3" xfId="29" xr:uid="{00000000-0005-0000-0000-000019000000}"/>
    <cellStyle name="40% - Accent1 4" xfId="30" xr:uid="{00000000-0005-0000-0000-00001A000000}"/>
    <cellStyle name="40% - Accent1 5" xfId="31" xr:uid="{00000000-0005-0000-0000-00001B000000}"/>
    <cellStyle name="40% - Accent2 2" xfId="32" xr:uid="{00000000-0005-0000-0000-00001C000000}"/>
    <cellStyle name="40% - Accent2 3" xfId="33" xr:uid="{00000000-0005-0000-0000-00001D000000}"/>
    <cellStyle name="40% - Accent2 4" xfId="34" xr:uid="{00000000-0005-0000-0000-00001E000000}"/>
    <cellStyle name="40% - Accent2 5" xfId="35" xr:uid="{00000000-0005-0000-0000-00001F000000}"/>
    <cellStyle name="40% - Accent3 2" xfId="36" xr:uid="{00000000-0005-0000-0000-000020000000}"/>
    <cellStyle name="40% - Accent3 3" xfId="37" xr:uid="{00000000-0005-0000-0000-000021000000}"/>
    <cellStyle name="40% - Accent3 4" xfId="38" xr:uid="{00000000-0005-0000-0000-000022000000}"/>
    <cellStyle name="40% - Accent3 5" xfId="39" xr:uid="{00000000-0005-0000-0000-000023000000}"/>
    <cellStyle name="40% - Accent4 2" xfId="40" xr:uid="{00000000-0005-0000-0000-000024000000}"/>
    <cellStyle name="40% - Accent4 3" xfId="41" xr:uid="{00000000-0005-0000-0000-000025000000}"/>
    <cellStyle name="40% - Accent4 4" xfId="42" xr:uid="{00000000-0005-0000-0000-000026000000}"/>
    <cellStyle name="40% - Accent4 5" xfId="43" xr:uid="{00000000-0005-0000-0000-000027000000}"/>
    <cellStyle name="40% - Accent5 2" xfId="44" xr:uid="{00000000-0005-0000-0000-000028000000}"/>
    <cellStyle name="40% - Accent5 3" xfId="45" xr:uid="{00000000-0005-0000-0000-000029000000}"/>
    <cellStyle name="40% - Accent5 4" xfId="46" xr:uid="{00000000-0005-0000-0000-00002A000000}"/>
    <cellStyle name="40% - Accent5 5" xfId="47" xr:uid="{00000000-0005-0000-0000-00002B000000}"/>
    <cellStyle name="40% - Accent6 2" xfId="48" xr:uid="{00000000-0005-0000-0000-00002C000000}"/>
    <cellStyle name="40% - Accent6 3" xfId="49" xr:uid="{00000000-0005-0000-0000-00002D000000}"/>
    <cellStyle name="40% - Accent6 4" xfId="50" xr:uid="{00000000-0005-0000-0000-00002E000000}"/>
    <cellStyle name="40% - Accent6 5" xfId="51" xr:uid="{00000000-0005-0000-0000-00002F000000}"/>
    <cellStyle name="60% - Accent1 2" xfId="52" xr:uid="{00000000-0005-0000-0000-000030000000}"/>
    <cellStyle name="60% - Accent1 3" xfId="53" xr:uid="{00000000-0005-0000-0000-000031000000}"/>
    <cellStyle name="60% - Accent1 4" xfId="54" xr:uid="{00000000-0005-0000-0000-000032000000}"/>
    <cellStyle name="60% - Accent1 5" xfId="55" xr:uid="{00000000-0005-0000-0000-000033000000}"/>
    <cellStyle name="60% - Accent2 2" xfId="56" xr:uid="{00000000-0005-0000-0000-000034000000}"/>
    <cellStyle name="60% - Accent2 3" xfId="57" xr:uid="{00000000-0005-0000-0000-000035000000}"/>
    <cellStyle name="60% - Accent2 4" xfId="58" xr:uid="{00000000-0005-0000-0000-000036000000}"/>
    <cellStyle name="60% - Accent2 5" xfId="59" xr:uid="{00000000-0005-0000-0000-000037000000}"/>
    <cellStyle name="60% - Accent3 2" xfId="60" xr:uid="{00000000-0005-0000-0000-000038000000}"/>
    <cellStyle name="60% - Accent3 3" xfId="61" xr:uid="{00000000-0005-0000-0000-000039000000}"/>
    <cellStyle name="60% - Accent3 4" xfId="62" xr:uid="{00000000-0005-0000-0000-00003A000000}"/>
    <cellStyle name="60% - Accent3 5" xfId="63" xr:uid="{00000000-0005-0000-0000-00003B000000}"/>
    <cellStyle name="60% - Accent4 2" xfId="64" xr:uid="{00000000-0005-0000-0000-00003C000000}"/>
    <cellStyle name="60% - Accent4 3" xfId="65" xr:uid="{00000000-0005-0000-0000-00003D000000}"/>
    <cellStyle name="60% - Accent4 4" xfId="66" xr:uid="{00000000-0005-0000-0000-00003E000000}"/>
    <cellStyle name="60% - Accent4 5" xfId="67" xr:uid="{00000000-0005-0000-0000-00003F000000}"/>
    <cellStyle name="60% - Accent5 2" xfId="68" xr:uid="{00000000-0005-0000-0000-000040000000}"/>
    <cellStyle name="60% - Accent5 3" xfId="69" xr:uid="{00000000-0005-0000-0000-000041000000}"/>
    <cellStyle name="60% - Accent5 4" xfId="70" xr:uid="{00000000-0005-0000-0000-000042000000}"/>
    <cellStyle name="60% - Accent5 5" xfId="71" xr:uid="{00000000-0005-0000-0000-000043000000}"/>
    <cellStyle name="60% - Accent6 2" xfId="72" xr:uid="{00000000-0005-0000-0000-000044000000}"/>
    <cellStyle name="60% - Accent6 3" xfId="73" xr:uid="{00000000-0005-0000-0000-000045000000}"/>
    <cellStyle name="60% - Accent6 4" xfId="74" xr:uid="{00000000-0005-0000-0000-000046000000}"/>
    <cellStyle name="60% - Accent6 5" xfId="75" xr:uid="{00000000-0005-0000-0000-000047000000}"/>
    <cellStyle name="Accent1 2" xfId="76" xr:uid="{00000000-0005-0000-0000-000048000000}"/>
    <cellStyle name="Accent1 3" xfId="77" xr:uid="{00000000-0005-0000-0000-000049000000}"/>
    <cellStyle name="Accent1 4" xfId="78" xr:uid="{00000000-0005-0000-0000-00004A000000}"/>
    <cellStyle name="Accent1 5" xfId="79" xr:uid="{00000000-0005-0000-0000-00004B000000}"/>
    <cellStyle name="Accent2 2" xfId="80" xr:uid="{00000000-0005-0000-0000-00004C000000}"/>
    <cellStyle name="Accent2 3" xfId="81" xr:uid="{00000000-0005-0000-0000-00004D000000}"/>
    <cellStyle name="Accent2 4" xfId="82" xr:uid="{00000000-0005-0000-0000-00004E000000}"/>
    <cellStyle name="Accent2 5" xfId="83" xr:uid="{00000000-0005-0000-0000-00004F000000}"/>
    <cellStyle name="Accent3 2" xfId="84" xr:uid="{00000000-0005-0000-0000-000050000000}"/>
    <cellStyle name="Accent3 3" xfId="85" xr:uid="{00000000-0005-0000-0000-000051000000}"/>
    <cellStyle name="Accent3 4" xfId="86" xr:uid="{00000000-0005-0000-0000-000052000000}"/>
    <cellStyle name="Accent3 5" xfId="87" xr:uid="{00000000-0005-0000-0000-000053000000}"/>
    <cellStyle name="Accent4 2" xfId="88" xr:uid="{00000000-0005-0000-0000-000054000000}"/>
    <cellStyle name="Accent4 3" xfId="89" xr:uid="{00000000-0005-0000-0000-000055000000}"/>
    <cellStyle name="Accent4 4" xfId="90" xr:uid="{00000000-0005-0000-0000-000056000000}"/>
    <cellStyle name="Accent4 5" xfId="91" xr:uid="{00000000-0005-0000-0000-000057000000}"/>
    <cellStyle name="Accent5 2" xfId="92" xr:uid="{00000000-0005-0000-0000-000058000000}"/>
    <cellStyle name="Accent5 3" xfId="93" xr:uid="{00000000-0005-0000-0000-000059000000}"/>
    <cellStyle name="Accent5 4" xfId="94" xr:uid="{00000000-0005-0000-0000-00005A000000}"/>
    <cellStyle name="Accent5 5" xfId="95" xr:uid="{00000000-0005-0000-0000-00005B000000}"/>
    <cellStyle name="Accent6 2" xfId="96" xr:uid="{00000000-0005-0000-0000-00005C000000}"/>
    <cellStyle name="Accent6 3" xfId="97" xr:uid="{00000000-0005-0000-0000-00005D000000}"/>
    <cellStyle name="Accent6 4" xfId="98" xr:uid="{00000000-0005-0000-0000-00005E000000}"/>
    <cellStyle name="Accent6 5" xfId="99" xr:uid="{00000000-0005-0000-0000-00005F000000}"/>
    <cellStyle name="Bad 2" xfId="100" xr:uid="{00000000-0005-0000-0000-000060000000}"/>
    <cellStyle name="Bad 3" xfId="101" xr:uid="{00000000-0005-0000-0000-000061000000}"/>
    <cellStyle name="Bad 4" xfId="102" xr:uid="{00000000-0005-0000-0000-000062000000}"/>
    <cellStyle name="Bad 5" xfId="103" xr:uid="{00000000-0005-0000-0000-000063000000}"/>
    <cellStyle name="Calculation 2" xfId="104" xr:uid="{00000000-0005-0000-0000-000064000000}"/>
    <cellStyle name="Calculation 3" xfId="105" xr:uid="{00000000-0005-0000-0000-000065000000}"/>
    <cellStyle name="Calculation 4" xfId="106" xr:uid="{00000000-0005-0000-0000-000066000000}"/>
    <cellStyle name="Calculation 5" xfId="107" xr:uid="{00000000-0005-0000-0000-000067000000}"/>
    <cellStyle name="Check Cell 2" xfId="108" xr:uid="{00000000-0005-0000-0000-000068000000}"/>
    <cellStyle name="Check Cell 3" xfId="109" xr:uid="{00000000-0005-0000-0000-000069000000}"/>
    <cellStyle name="Check Cell 4" xfId="110" xr:uid="{00000000-0005-0000-0000-00006A000000}"/>
    <cellStyle name="Check Cell 5" xfId="111" xr:uid="{00000000-0005-0000-0000-00006B000000}"/>
    <cellStyle name="Comma 2" xfId="112" xr:uid="{00000000-0005-0000-0000-00006C000000}"/>
    <cellStyle name="Comma 2 2" xfId="113" xr:uid="{00000000-0005-0000-0000-00006D000000}"/>
    <cellStyle name="Comma 3" xfId="114" xr:uid="{00000000-0005-0000-0000-00006E000000}"/>
    <cellStyle name="Comma 4" xfId="115" xr:uid="{00000000-0005-0000-0000-00006F000000}"/>
    <cellStyle name="Comma 5" xfId="116" xr:uid="{00000000-0005-0000-0000-000070000000}"/>
    <cellStyle name="Comma 6" xfId="117" xr:uid="{00000000-0005-0000-0000-000071000000}"/>
    <cellStyle name="Explanatory Text 2" xfId="118" xr:uid="{00000000-0005-0000-0000-000072000000}"/>
    <cellStyle name="Explanatory Text 3" xfId="119" xr:uid="{00000000-0005-0000-0000-000073000000}"/>
    <cellStyle name="Explanatory Text 4" xfId="120" xr:uid="{00000000-0005-0000-0000-000074000000}"/>
    <cellStyle name="Explanatory Text 5" xfId="121" xr:uid="{00000000-0005-0000-0000-000075000000}"/>
    <cellStyle name="Good 2" xfId="122" xr:uid="{00000000-0005-0000-0000-000076000000}"/>
    <cellStyle name="Good 3" xfId="123" xr:uid="{00000000-0005-0000-0000-000077000000}"/>
    <cellStyle name="Good 4" xfId="124" xr:uid="{00000000-0005-0000-0000-000078000000}"/>
    <cellStyle name="Good 5" xfId="125" xr:uid="{00000000-0005-0000-0000-000079000000}"/>
    <cellStyle name="Heading 1 2" xfId="126" xr:uid="{00000000-0005-0000-0000-00007A000000}"/>
    <cellStyle name="Heading 1 3" xfId="127" xr:uid="{00000000-0005-0000-0000-00007B000000}"/>
    <cellStyle name="Heading 1 4" xfId="128" xr:uid="{00000000-0005-0000-0000-00007C000000}"/>
    <cellStyle name="Heading 1 5" xfId="129" xr:uid="{00000000-0005-0000-0000-00007D000000}"/>
    <cellStyle name="Heading 2 2" xfId="130" xr:uid="{00000000-0005-0000-0000-00007E000000}"/>
    <cellStyle name="Heading 2 3" xfId="131" xr:uid="{00000000-0005-0000-0000-00007F000000}"/>
    <cellStyle name="Heading 2 4" xfId="132" xr:uid="{00000000-0005-0000-0000-000080000000}"/>
    <cellStyle name="Heading 2 5" xfId="133" xr:uid="{00000000-0005-0000-0000-000081000000}"/>
    <cellStyle name="Heading 3 2" xfId="134" xr:uid="{00000000-0005-0000-0000-000082000000}"/>
    <cellStyle name="Heading 3 3" xfId="135" xr:uid="{00000000-0005-0000-0000-000083000000}"/>
    <cellStyle name="Heading 3 4" xfId="136" xr:uid="{00000000-0005-0000-0000-000084000000}"/>
    <cellStyle name="Heading 3 5" xfId="137" xr:uid="{00000000-0005-0000-0000-000085000000}"/>
    <cellStyle name="Heading 4 2" xfId="138" xr:uid="{00000000-0005-0000-0000-000086000000}"/>
    <cellStyle name="Heading 4 3" xfId="139" xr:uid="{00000000-0005-0000-0000-000087000000}"/>
    <cellStyle name="Heading 4 4" xfId="140" xr:uid="{00000000-0005-0000-0000-000088000000}"/>
    <cellStyle name="Heading 4 5" xfId="141" xr:uid="{00000000-0005-0000-0000-000089000000}"/>
    <cellStyle name="Hyperlink 2" xfId="143" xr:uid="{00000000-0005-0000-0000-00008A000000}"/>
    <cellStyle name="Hyperlink 3" xfId="144" xr:uid="{00000000-0005-0000-0000-00008B000000}"/>
    <cellStyle name="Hyperlink 4" xfId="145" xr:uid="{00000000-0005-0000-0000-00008C000000}"/>
    <cellStyle name="Hyperlink 5" xfId="142" xr:uid="{00000000-0005-0000-0000-00008D000000}"/>
    <cellStyle name="Input 2" xfId="146" xr:uid="{00000000-0005-0000-0000-00008E000000}"/>
    <cellStyle name="Input 3" xfId="147" xr:uid="{00000000-0005-0000-0000-00008F000000}"/>
    <cellStyle name="Input 4" xfId="148" xr:uid="{00000000-0005-0000-0000-000090000000}"/>
    <cellStyle name="Input 5" xfId="149" xr:uid="{00000000-0005-0000-0000-000091000000}"/>
    <cellStyle name="Linked Cell 2" xfId="150" xr:uid="{00000000-0005-0000-0000-000092000000}"/>
    <cellStyle name="Linked Cell 3" xfId="151" xr:uid="{00000000-0005-0000-0000-000093000000}"/>
    <cellStyle name="Linked Cell 4" xfId="152" xr:uid="{00000000-0005-0000-0000-000094000000}"/>
    <cellStyle name="Linked Cell 5" xfId="153" xr:uid="{00000000-0005-0000-0000-000095000000}"/>
    <cellStyle name="Neutral 2" xfId="154" xr:uid="{00000000-0005-0000-0000-000096000000}"/>
    <cellStyle name="Neutral 3" xfId="155" xr:uid="{00000000-0005-0000-0000-000097000000}"/>
    <cellStyle name="Neutral 4" xfId="156" xr:uid="{00000000-0005-0000-0000-000098000000}"/>
    <cellStyle name="Neutral 5" xfId="157" xr:uid="{00000000-0005-0000-0000-000099000000}"/>
    <cellStyle name="Normal" xfId="0" builtinId="0"/>
    <cellStyle name="Normal 10" xfId="158" xr:uid="{00000000-0005-0000-0000-00009B000000}"/>
    <cellStyle name="Normal 11" xfId="159" xr:uid="{00000000-0005-0000-0000-00009C000000}"/>
    <cellStyle name="Normal 11 2" xfId="160" xr:uid="{00000000-0005-0000-0000-00009D000000}"/>
    <cellStyle name="Normal 12" xfId="161" xr:uid="{00000000-0005-0000-0000-00009E000000}"/>
    <cellStyle name="Normal 13" xfId="162" xr:uid="{00000000-0005-0000-0000-00009F000000}"/>
    <cellStyle name="Normal 14" xfId="163" xr:uid="{00000000-0005-0000-0000-0000A0000000}"/>
    <cellStyle name="Normal 15" xfId="164" xr:uid="{00000000-0005-0000-0000-0000A1000000}"/>
    <cellStyle name="Normal 16" xfId="165" xr:uid="{00000000-0005-0000-0000-0000A2000000}"/>
    <cellStyle name="Normal 17" xfId="3" xr:uid="{00000000-0005-0000-0000-0000A3000000}"/>
    <cellStyle name="Normal 2" xfId="166" xr:uid="{00000000-0005-0000-0000-0000A4000000}"/>
    <cellStyle name="Normal 2 2" xfId="167" xr:uid="{00000000-0005-0000-0000-0000A5000000}"/>
    <cellStyle name="Normal 2 2 2" xfId="168" xr:uid="{00000000-0005-0000-0000-0000A6000000}"/>
    <cellStyle name="Normal 2 3" xfId="169" xr:uid="{00000000-0005-0000-0000-0000A7000000}"/>
    <cellStyle name="Normal 2_Invest" xfId="170" xr:uid="{00000000-0005-0000-0000-0000A8000000}"/>
    <cellStyle name="Normal 3" xfId="171" xr:uid="{00000000-0005-0000-0000-0000A9000000}"/>
    <cellStyle name="Normal 4" xfId="172" xr:uid="{00000000-0005-0000-0000-0000AA000000}"/>
    <cellStyle name="Normal 4 2" xfId="173" xr:uid="{00000000-0005-0000-0000-0000AB000000}"/>
    <cellStyle name="Normal 4 2 2" xfId="174" xr:uid="{00000000-0005-0000-0000-0000AC000000}"/>
    <cellStyle name="Normal 4_Invest" xfId="175" xr:uid="{00000000-0005-0000-0000-0000AD000000}"/>
    <cellStyle name="Normal 5" xfId="176" xr:uid="{00000000-0005-0000-0000-0000AE000000}"/>
    <cellStyle name="Normal 6" xfId="177" xr:uid="{00000000-0005-0000-0000-0000AF000000}"/>
    <cellStyle name="Normal 6 2" xfId="178" xr:uid="{00000000-0005-0000-0000-0000B0000000}"/>
    <cellStyle name="Normal 6 2 2" xfId="179" xr:uid="{00000000-0005-0000-0000-0000B1000000}"/>
    <cellStyle name="Normal 6 3" xfId="180" xr:uid="{00000000-0005-0000-0000-0000B2000000}"/>
    <cellStyle name="Normal 7" xfId="181" xr:uid="{00000000-0005-0000-0000-0000B3000000}"/>
    <cellStyle name="Normal 8" xfId="182" xr:uid="{00000000-0005-0000-0000-0000B4000000}"/>
    <cellStyle name="Normal 9" xfId="183" xr:uid="{00000000-0005-0000-0000-0000B5000000}"/>
    <cellStyle name="Normal_Hindustan Platinum_Worksheet_30.10.08" xfId="2" xr:uid="{00000000-0005-0000-0000-0000B6000000}"/>
    <cellStyle name="Note 2" xfId="184" xr:uid="{00000000-0005-0000-0000-0000B7000000}"/>
    <cellStyle name="Note 3" xfId="185" xr:uid="{00000000-0005-0000-0000-0000B8000000}"/>
    <cellStyle name="Note 4" xfId="186" xr:uid="{00000000-0005-0000-0000-0000B9000000}"/>
    <cellStyle name="Note 5" xfId="187" xr:uid="{00000000-0005-0000-0000-0000BA000000}"/>
    <cellStyle name="Note 6" xfId="188" xr:uid="{00000000-0005-0000-0000-0000BB000000}"/>
    <cellStyle name="Output 2" xfId="189" xr:uid="{00000000-0005-0000-0000-0000BC000000}"/>
    <cellStyle name="Output 3" xfId="190" xr:uid="{00000000-0005-0000-0000-0000BD000000}"/>
    <cellStyle name="Output 4" xfId="191" xr:uid="{00000000-0005-0000-0000-0000BE000000}"/>
    <cellStyle name="Output 5" xfId="192" xr:uid="{00000000-0005-0000-0000-0000BF000000}"/>
    <cellStyle name="Percent" xfId="1" builtinId="5"/>
    <cellStyle name="Percent 2" xfId="194" xr:uid="{00000000-0005-0000-0000-0000C0000000}"/>
    <cellStyle name="Percent 3" xfId="195" xr:uid="{00000000-0005-0000-0000-0000C1000000}"/>
    <cellStyle name="Percent 4" xfId="196" xr:uid="{00000000-0005-0000-0000-0000C2000000}"/>
    <cellStyle name="Percent 5" xfId="197" xr:uid="{00000000-0005-0000-0000-0000C3000000}"/>
    <cellStyle name="Percent 6" xfId="198" xr:uid="{00000000-0005-0000-0000-0000C4000000}"/>
    <cellStyle name="Percent 7" xfId="193" xr:uid="{00000000-0005-0000-0000-0000C5000000}"/>
    <cellStyle name="Title 2" xfId="199" xr:uid="{00000000-0005-0000-0000-0000C6000000}"/>
    <cellStyle name="Title 3" xfId="200" xr:uid="{00000000-0005-0000-0000-0000C7000000}"/>
    <cellStyle name="Title 4" xfId="201" xr:uid="{00000000-0005-0000-0000-0000C8000000}"/>
    <cellStyle name="Title 5" xfId="202" xr:uid="{00000000-0005-0000-0000-0000C9000000}"/>
    <cellStyle name="Total 2" xfId="203" xr:uid="{00000000-0005-0000-0000-0000CA000000}"/>
    <cellStyle name="Total 3" xfId="204" xr:uid="{00000000-0005-0000-0000-0000CB000000}"/>
    <cellStyle name="Total 4" xfId="205" xr:uid="{00000000-0005-0000-0000-0000CC000000}"/>
    <cellStyle name="Total 5" xfId="206" xr:uid="{00000000-0005-0000-0000-0000CD000000}"/>
    <cellStyle name="Warning Text 2" xfId="207" xr:uid="{00000000-0005-0000-0000-0000CF000000}"/>
    <cellStyle name="Warning Text 3" xfId="208" xr:uid="{00000000-0005-0000-0000-0000D0000000}"/>
    <cellStyle name="Warning Text 4" xfId="209" xr:uid="{00000000-0005-0000-0000-0000D1000000}"/>
    <cellStyle name="Warning Text 5" xfId="210" xr:uid="{00000000-0005-0000-0000-0000D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Q22"/>
  <sheetViews>
    <sheetView tabSelected="1" topLeftCell="E1" zoomScale="115" zoomScaleNormal="115" workbookViewId="0">
      <selection activeCell="D18" sqref="D18"/>
    </sheetView>
  </sheetViews>
  <sheetFormatPr defaultColWidth="9.140625" defaultRowHeight="15" x14ac:dyDescent="0.25"/>
  <cols>
    <col min="1" max="3" width="9.140625" style="1"/>
    <col min="4" max="4" width="53.5703125" style="1" customWidth="1"/>
    <col min="5" max="5" width="18.140625" style="1" bestFit="1" customWidth="1"/>
    <col min="6" max="6" width="11" style="1" customWidth="1"/>
    <col min="7" max="11" width="9.140625" style="1"/>
    <col min="12" max="12" width="10.85546875" style="1" customWidth="1"/>
    <col min="13" max="14" width="9.140625" style="1"/>
    <col min="15" max="15" width="12.28515625" style="1" bestFit="1" customWidth="1"/>
    <col min="16" max="16384" width="9.140625" style="1"/>
  </cols>
  <sheetData>
    <row r="2" spans="4:17" ht="15.75" thickBot="1" x14ac:dyDescent="0.3"/>
    <row r="3" spans="4:17" ht="15.75" thickBot="1" x14ac:dyDescent="0.3">
      <c r="J3" s="56"/>
      <c r="K3" s="42"/>
      <c r="L3" s="42"/>
      <c r="M3" s="42"/>
      <c r="N3" s="42"/>
      <c r="O3" s="43"/>
    </row>
    <row r="4" spans="4:17" ht="15.75" thickBot="1" x14ac:dyDescent="0.3">
      <c r="J4" s="57"/>
      <c r="K4" s="215" t="s">
        <v>37</v>
      </c>
      <c r="L4" s="216"/>
      <c r="M4" s="216"/>
      <c r="N4" s="217"/>
      <c r="O4" s="41"/>
    </row>
    <row r="5" spans="4:17" ht="15.75" thickBot="1" x14ac:dyDescent="0.3">
      <c r="D5" s="205" t="s">
        <v>16</v>
      </c>
      <c r="E5" s="193">
        <f>+M10</f>
        <v>1269880.5870000001</v>
      </c>
      <c r="F5" s="197" t="s">
        <v>17</v>
      </c>
      <c r="J5" s="57"/>
      <c r="K5" s="61" t="s">
        <v>38</v>
      </c>
      <c r="L5" s="61" t="s">
        <v>3</v>
      </c>
      <c r="M5" s="221" t="s">
        <v>17</v>
      </c>
      <c r="N5" s="210"/>
      <c r="O5" s="41"/>
    </row>
    <row r="6" spans="4:17" ht="18.75" thickBot="1" x14ac:dyDescent="0.3">
      <c r="D6" s="75" t="s">
        <v>18</v>
      </c>
      <c r="E6" s="196">
        <v>0.96530000000000005</v>
      </c>
      <c r="F6" s="198" t="s">
        <v>83</v>
      </c>
      <c r="J6" s="57"/>
      <c r="K6" s="61">
        <v>1</v>
      </c>
      <c r="L6" s="64" t="s">
        <v>5</v>
      </c>
      <c r="M6" s="209">
        <f>+ROUNDDOWN(Mandsaur!F22,0)</f>
        <v>469136</v>
      </c>
      <c r="N6" s="210"/>
      <c r="O6" s="41"/>
    </row>
    <row r="7" spans="4:17" ht="18.75" thickBot="1" x14ac:dyDescent="0.3">
      <c r="D7" s="75" t="s">
        <v>19</v>
      </c>
      <c r="E7" s="194">
        <f>+M18</f>
        <v>1225812</v>
      </c>
      <c r="F7" s="199" t="s">
        <v>82</v>
      </c>
      <c r="G7" s="204"/>
      <c r="J7" s="57"/>
      <c r="K7" s="61">
        <v>2</v>
      </c>
      <c r="L7" s="64" t="s">
        <v>39</v>
      </c>
      <c r="M7" s="209">
        <f>+Rojmal!E20</f>
        <v>111612</v>
      </c>
      <c r="N7" s="210"/>
      <c r="O7" s="41"/>
      <c r="Q7" s="31"/>
    </row>
    <row r="8" spans="4:17" ht="15" customHeight="1" thickBot="1" x14ac:dyDescent="0.3">
      <c r="D8" s="75" t="s">
        <v>21</v>
      </c>
      <c r="E8" s="206">
        <v>44105</v>
      </c>
      <c r="F8" s="200"/>
      <c r="J8" s="57"/>
      <c r="K8" s="61">
        <v>3</v>
      </c>
      <c r="L8" s="64" t="s">
        <v>30</v>
      </c>
      <c r="M8" s="209">
        <f>+'Bhadla '!S23</f>
        <v>521076.58700000012</v>
      </c>
      <c r="N8" s="210"/>
      <c r="O8" s="41"/>
      <c r="Q8" s="31"/>
    </row>
    <row r="9" spans="4:17" ht="15.75" thickBot="1" x14ac:dyDescent="0.3">
      <c r="D9" s="75" t="s">
        <v>22</v>
      </c>
      <c r="E9" s="206">
        <v>44561</v>
      </c>
      <c r="F9" s="201"/>
      <c r="J9" s="57"/>
      <c r="K9" s="62">
        <v>4</v>
      </c>
      <c r="L9" s="64" t="s">
        <v>40</v>
      </c>
      <c r="M9" s="209">
        <f>Ananthpur!I22</f>
        <v>168056</v>
      </c>
      <c r="N9" s="210"/>
      <c r="O9" s="41"/>
    </row>
    <row r="10" spans="4:17" ht="15.75" thickBot="1" x14ac:dyDescent="0.3">
      <c r="D10" s="75" t="s">
        <v>23</v>
      </c>
      <c r="E10" s="194">
        <f>+(E9-E8)+1</f>
        <v>457</v>
      </c>
      <c r="F10" s="202" t="s">
        <v>42</v>
      </c>
      <c r="J10" s="57"/>
      <c r="K10" s="61" t="s">
        <v>1</v>
      </c>
      <c r="L10" s="63"/>
      <c r="M10" s="209">
        <f>+SUM(M6:N9)</f>
        <v>1269880.5870000001</v>
      </c>
      <c r="N10" s="210"/>
      <c r="O10" s="192"/>
    </row>
    <row r="11" spans="4:17" ht="18.75" thickBot="1" x14ac:dyDescent="0.3">
      <c r="D11" s="75" t="s">
        <v>55</v>
      </c>
      <c r="E11" s="194">
        <f>9408911/10</f>
        <v>940891.1</v>
      </c>
      <c r="F11" s="202" t="s">
        <v>84</v>
      </c>
      <c r="J11" s="57"/>
      <c r="O11" s="41"/>
    </row>
    <row r="12" spans="4:17" ht="18.75" thickBot="1" x14ac:dyDescent="0.3">
      <c r="D12" s="75" t="s">
        <v>24</v>
      </c>
      <c r="E12" s="194">
        <f>+(E11*E10)/365</f>
        <v>1178047.2128767122</v>
      </c>
      <c r="F12" s="199" t="s">
        <v>82</v>
      </c>
      <c r="J12" s="57"/>
      <c r="K12" s="215" t="s">
        <v>81</v>
      </c>
      <c r="L12" s="216"/>
      <c r="M12" s="216"/>
      <c r="N12" s="217"/>
      <c r="O12" s="41"/>
    </row>
    <row r="13" spans="4:17" ht="18.75" thickBot="1" x14ac:dyDescent="0.4">
      <c r="D13" s="75" t="s">
        <v>19</v>
      </c>
      <c r="E13" s="194">
        <f>+E7</f>
        <v>1225812</v>
      </c>
      <c r="F13" s="199" t="s">
        <v>82</v>
      </c>
      <c r="J13" s="57"/>
      <c r="K13" s="61" t="s">
        <v>38</v>
      </c>
      <c r="L13" s="61" t="s">
        <v>3</v>
      </c>
      <c r="M13" s="221" t="s">
        <v>82</v>
      </c>
      <c r="N13" s="210"/>
      <c r="O13" s="41"/>
    </row>
    <row r="14" spans="4:17" ht="15.75" thickBot="1" x14ac:dyDescent="0.3">
      <c r="D14" s="76" t="s">
        <v>25</v>
      </c>
      <c r="E14" s="195">
        <f>+(E13-E12)/E12</f>
        <v>4.0545732464023571E-2</v>
      </c>
      <c r="F14" s="203"/>
      <c r="J14" s="57"/>
      <c r="K14" s="61">
        <v>1</v>
      </c>
      <c r="L14" s="64" t="s">
        <v>5</v>
      </c>
      <c r="M14" s="209">
        <f>+Mandsaur!H22</f>
        <v>452856</v>
      </c>
      <c r="N14" s="210"/>
      <c r="O14" s="41"/>
    </row>
    <row r="15" spans="4:17" ht="15.75" thickBot="1" x14ac:dyDescent="0.3">
      <c r="J15" s="57"/>
      <c r="K15" s="61">
        <v>2</v>
      </c>
      <c r="L15" s="64" t="s">
        <v>39</v>
      </c>
      <c r="M15" s="209">
        <f>+Rojmal!J20</f>
        <v>107738</v>
      </c>
      <c r="N15" s="210"/>
      <c r="O15" s="41"/>
    </row>
    <row r="16" spans="4:17" ht="15.75" thickBot="1" x14ac:dyDescent="0.3">
      <c r="J16" s="57"/>
      <c r="K16" s="61">
        <v>3</v>
      </c>
      <c r="L16" s="64" t="s">
        <v>30</v>
      </c>
      <c r="M16" s="209">
        <f>+'Bhadla '!V23</f>
        <v>502994</v>
      </c>
      <c r="N16" s="210"/>
      <c r="O16" s="41"/>
    </row>
    <row r="17" spans="4:15" ht="16.5" thickBot="1" x14ac:dyDescent="0.3">
      <c r="D17" s="218" t="s">
        <v>26</v>
      </c>
      <c r="E17" s="219"/>
      <c r="F17" s="220"/>
      <c r="J17" s="57"/>
      <c r="K17" s="62">
        <v>4</v>
      </c>
      <c r="L17" s="64" t="s">
        <v>40</v>
      </c>
      <c r="M17" s="209">
        <f>Ananthpur!M22</f>
        <v>162224</v>
      </c>
      <c r="N17" s="210"/>
      <c r="O17" s="41"/>
    </row>
    <row r="18" spans="4:15" ht="15.75" thickBot="1" x14ac:dyDescent="0.3">
      <c r="D18" s="74" t="s">
        <v>86</v>
      </c>
      <c r="E18" s="211">
        <f>Mandsaur!H8+Rojmal!J5+'Bhadla '!V8+Ananthpur!M7</f>
        <v>236070</v>
      </c>
      <c r="F18" s="212"/>
      <c r="J18" s="57"/>
      <c r="K18" s="61" t="s">
        <v>1</v>
      </c>
      <c r="L18" s="63"/>
      <c r="M18" s="209">
        <f>+SUM(M14:N17)</f>
        <v>1225812</v>
      </c>
      <c r="N18" s="210"/>
      <c r="O18" s="41"/>
    </row>
    <row r="19" spans="4:15" ht="15.75" thickBot="1" x14ac:dyDescent="0.3">
      <c r="D19" s="74" t="s">
        <v>85</v>
      </c>
      <c r="E19" s="213">
        <f>+SUM('Bhadla '!V11+Mandsaur!H21+Rojmal!J8+Ananthpur!M10)</f>
        <v>989742</v>
      </c>
      <c r="F19" s="214"/>
      <c r="J19" s="58"/>
      <c r="K19" s="59"/>
      <c r="L19" s="59"/>
      <c r="M19" s="59"/>
      <c r="N19" s="59"/>
      <c r="O19" s="60"/>
    </row>
    <row r="20" spans="4:15" ht="15.75" thickBot="1" x14ac:dyDescent="0.3">
      <c r="D20" s="47" t="s">
        <v>1</v>
      </c>
      <c r="E20" s="207">
        <f>+SUM(E18:F19)</f>
        <v>1225812</v>
      </c>
      <c r="F20" s="208"/>
    </row>
    <row r="22" spans="4:15" x14ac:dyDescent="0.25">
      <c r="E22" s="24"/>
    </row>
  </sheetData>
  <mergeCells count="18">
    <mergeCell ref="K4:N4"/>
    <mergeCell ref="M6:N6"/>
    <mergeCell ref="M7:N7"/>
    <mergeCell ref="M8:N8"/>
    <mergeCell ref="D17:F17"/>
    <mergeCell ref="M9:N9"/>
    <mergeCell ref="M5:N5"/>
    <mergeCell ref="M10:N10"/>
    <mergeCell ref="K12:N12"/>
    <mergeCell ref="M13:N13"/>
    <mergeCell ref="E20:F20"/>
    <mergeCell ref="M14:N14"/>
    <mergeCell ref="M15:N15"/>
    <mergeCell ref="M16:N16"/>
    <mergeCell ref="M17:N17"/>
    <mergeCell ref="M18:N18"/>
    <mergeCell ref="E18:F18"/>
    <mergeCell ref="E19:F19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topLeftCell="A10" zoomScale="90" zoomScaleNormal="100" workbookViewId="0">
      <selection activeCell="H4" sqref="H4"/>
    </sheetView>
  </sheetViews>
  <sheetFormatPr defaultColWidth="9.140625" defaultRowHeight="15" x14ac:dyDescent="0.25"/>
  <cols>
    <col min="1" max="1" width="13.42578125" style="1" bestFit="1" customWidth="1"/>
    <col min="2" max="2" width="9.140625" style="1"/>
    <col min="3" max="3" width="22" style="1" customWidth="1"/>
    <col min="4" max="4" width="12.28515625" style="1" customWidth="1"/>
    <col min="5" max="5" width="11.42578125" style="1" bestFit="1" customWidth="1"/>
    <col min="6" max="6" width="13.7109375" style="1" customWidth="1"/>
    <col min="7" max="7" width="19.85546875" style="87" customWidth="1"/>
    <col min="8" max="8" width="22.28515625" style="1" customWidth="1"/>
    <col min="9" max="9" width="13" style="1" customWidth="1"/>
    <col min="10" max="10" width="9.140625" style="1"/>
    <col min="11" max="11" width="11.28515625" style="1" customWidth="1"/>
    <col min="12" max="12" width="11.7109375" style="1" customWidth="1"/>
    <col min="13" max="16384" width="9.140625" style="1"/>
  </cols>
  <sheetData>
    <row r="1" spans="2:8" ht="15.75" thickBot="1" x14ac:dyDescent="0.3"/>
    <row r="2" spans="2:8" ht="16.5" thickBot="1" x14ac:dyDescent="0.3">
      <c r="B2" s="51" t="s">
        <v>3</v>
      </c>
      <c r="C2" s="142" t="s">
        <v>43</v>
      </c>
      <c r="D2" s="40"/>
      <c r="E2" s="77"/>
    </row>
    <row r="3" spans="2:8" ht="15.75" thickBot="1" x14ac:dyDescent="0.3"/>
    <row r="4" spans="2:8" ht="39" thickBot="1" x14ac:dyDescent="0.3">
      <c r="C4" s="45" t="s">
        <v>0</v>
      </c>
      <c r="D4" s="44" t="s">
        <v>63</v>
      </c>
      <c r="E4" s="44" t="s">
        <v>75</v>
      </c>
      <c r="F4" s="49" t="s">
        <v>50</v>
      </c>
      <c r="G4" s="88" t="s">
        <v>27</v>
      </c>
      <c r="H4" s="50" t="s">
        <v>76</v>
      </c>
    </row>
    <row r="5" spans="2:8" x14ac:dyDescent="0.25">
      <c r="C5" s="35">
        <v>44105</v>
      </c>
      <c r="D5" s="27">
        <v>33440000</v>
      </c>
      <c r="E5" s="27">
        <v>33440000</v>
      </c>
      <c r="F5" s="32">
        <f>+MIN(D5,E5)/1000</f>
        <v>33440</v>
      </c>
      <c r="G5" s="89">
        <v>0.96530000000000005</v>
      </c>
      <c r="H5" s="29">
        <f>+F5*G5</f>
        <v>32279.632000000001</v>
      </c>
    </row>
    <row r="6" spans="2:8" x14ac:dyDescent="0.25">
      <c r="C6" s="35">
        <v>44136</v>
      </c>
      <c r="D6" s="27">
        <v>32384000</v>
      </c>
      <c r="E6" s="27">
        <v>32384000</v>
      </c>
      <c r="F6" s="32">
        <f>+MIN(D6,E6)/1000</f>
        <v>32384</v>
      </c>
      <c r="G6" s="89">
        <v>0.96530000000000005</v>
      </c>
      <c r="H6" s="29">
        <f t="shared" ref="H6:H20" si="0">+F6*G6</f>
        <v>31260.2752</v>
      </c>
    </row>
    <row r="7" spans="2:8" ht="15.75" thickBot="1" x14ac:dyDescent="0.3">
      <c r="C7" s="36">
        <v>44166</v>
      </c>
      <c r="D7" s="28">
        <v>31600000</v>
      </c>
      <c r="E7" s="27">
        <v>31600000</v>
      </c>
      <c r="F7" s="32">
        <f>+MIN(D7,E7)/1000</f>
        <v>31600</v>
      </c>
      <c r="G7" s="89">
        <v>0.96530000000000005</v>
      </c>
      <c r="H7" s="30">
        <f t="shared" si="0"/>
        <v>30503.480000000003</v>
      </c>
    </row>
    <row r="8" spans="2:8" ht="15.75" thickBot="1" x14ac:dyDescent="0.3">
      <c r="C8" s="222" t="s">
        <v>53</v>
      </c>
      <c r="D8" s="223"/>
      <c r="E8" s="224"/>
      <c r="F8" s="37">
        <f>+SUM(F5:F7)</f>
        <v>97424</v>
      </c>
      <c r="G8" s="90"/>
      <c r="H8" s="38">
        <f>+ROUNDDOWN(SUM(H5:H7),0)</f>
        <v>94043</v>
      </c>
    </row>
    <row r="9" spans="2:8" ht="15" customHeight="1" x14ac:dyDescent="0.25">
      <c r="C9" s="33">
        <v>44197</v>
      </c>
      <c r="D9" s="32">
        <v>31536000</v>
      </c>
      <c r="E9" s="27">
        <v>31536000</v>
      </c>
      <c r="F9" s="32">
        <f>+MIN(D9,E9)/1000</f>
        <v>31536</v>
      </c>
      <c r="G9" s="89">
        <v>0.96530000000000005</v>
      </c>
      <c r="H9" s="34">
        <f t="shared" si="0"/>
        <v>30441.700800000002</v>
      </c>
    </row>
    <row r="10" spans="2:8" ht="15" customHeight="1" x14ac:dyDescent="0.25">
      <c r="C10" s="35">
        <v>44228</v>
      </c>
      <c r="D10" s="27">
        <v>34912000</v>
      </c>
      <c r="E10" s="27">
        <v>34912000</v>
      </c>
      <c r="F10" s="32">
        <f>+MIN(D10,E10)/1000</f>
        <v>34912</v>
      </c>
      <c r="G10" s="89">
        <v>0.96530000000000005</v>
      </c>
      <c r="H10" s="29">
        <f t="shared" si="0"/>
        <v>33700.553599999999</v>
      </c>
    </row>
    <row r="11" spans="2:8" ht="15" customHeight="1" x14ac:dyDescent="0.25">
      <c r="C11" s="35">
        <v>44256</v>
      </c>
      <c r="D11" s="27">
        <v>37584000</v>
      </c>
      <c r="E11" s="27">
        <v>37584000</v>
      </c>
      <c r="F11" s="32">
        <f t="shared" ref="F11:F19" si="1">+MIN(D11,E11)/1000</f>
        <v>37584</v>
      </c>
      <c r="G11" s="89">
        <v>0.96530000000000005</v>
      </c>
      <c r="H11" s="29">
        <f t="shared" si="0"/>
        <v>36279.835200000001</v>
      </c>
    </row>
    <row r="12" spans="2:8" ht="15" customHeight="1" x14ac:dyDescent="0.25">
      <c r="C12" s="35">
        <v>44287</v>
      </c>
      <c r="D12" s="27">
        <v>36432000</v>
      </c>
      <c r="E12" s="27">
        <v>36432000</v>
      </c>
      <c r="F12" s="32">
        <f t="shared" si="1"/>
        <v>36432</v>
      </c>
      <c r="G12" s="89">
        <v>0.96530000000000005</v>
      </c>
      <c r="H12" s="29">
        <f t="shared" si="0"/>
        <v>35167.809600000001</v>
      </c>
    </row>
    <row r="13" spans="2:8" ht="15" customHeight="1" x14ac:dyDescent="0.25">
      <c r="C13" s="35">
        <v>44317</v>
      </c>
      <c r="D13" s="27">
        <v>35504000</v>
      </c>
      <c r="E13" s="27">
        <v>35504000</v>
      </c>
      <c r="F13" s="32">
        <f t="shared" si="1"/>
        <v>35504</v>
      </c>
      <c r="G13" s="89">
        <v>0.96530000000000005</v>
      </c>
      <c r="H13" s="29">
        <f t="shared" si="0"/>
        <v>34272.011200000001</v>
      </c>
    </row>
    <row r="14" spans="2:8" ht="15" customHeight="1" x14ac:dyDescent="0.25">
      <c r="C14" s="35">
        <v>44348</v>
      </c>
      <c r="D14" s="27">
        <v>33424000</v>
      </c>
      <c r="E14" s="27">
        <v>33424000</v>
      </c>
      <c r="F14" s="32">
        <f t="shared" si="1"/>
        <v>33424</v>
      </c>
      <c r="G14" s="89">
        <v>0.96530000000000005</v>
      </c>
      <c r="H14" s="29">
        <f t="shared" si="0"/>
        <v>32264.1872</v>
      </c>
    </row>
    <row r="15" spans="2:8" ht="15" customHeight="1" x14ac:dyDescent="0.25">
      <c r="C15" s="35">
        <v>44378</v>
      </c>
      <c r="D15" s="27">
        <v>26336000</v>
      </c>
      <c r="E15" s="27">
        <v>26336000</v>
      </c>
      <c r="F15" s="32">
        <f t="shared" si="1"/>
        <v>26336</v>
      </c>
      <c r="G15" s="89">
        <v>0.96530000000000005</v>
      </c>
      <c r="H15" s="29">
        <f t="shared" si="0"/>
        <v>25422.140800000001</v>
      </c>
    </row>
    <row r="16" spans="2:8" ht="15" customHeight="1" x14ac:dyDescent="0.25">
      <c r="C16" s="35">
        <v>44409</v>
      </c>
      <c r="D16" s="27">
        <v>21952000</v>
      </c>
      <c r="E16" s="27">
        <v>21952000</v>
      </c>
      <c r="F16" s="32">
        <f t="shared" si="1"/>
        <v>21952</v>
      </c>
      <c r="G16" s="89">
        <v>0.96530000000000005</v>
      </c>
      <c r="H16" s="29">
        <f t="shared" si="0"/>
        <v>21190.265600000002</v>
      </c>
    </row>
    <row r="17" spans="3:9" ht="15" customHeight="1" x14ac:dyDescent="0.25">
      <c r="C17" s="35">
        <v>44440</v>
      </c>
      <c r="D17" s="27">
        <v>23680000</v>
      </c>
      <c r="E17" s="27">
        <v>23680000</v>
      </c>
      <c r="F17" s="32">
        <f t="shared" si="1"/>
        <v>23680</v>
      </c>
      <c r="G17" s="89">
        <v>0.96530000000000005</v>
      </c>
      <c r="H17" s="29">
        <f t="shared" si="0"/>
        <v>22858.304</v>
      </c>
    </row>
    <row r="18" spans="3:9" ht="15" customHeight="1" x14ac:dyDescent="0.25">
      <c r="C18" s="35">
        <v>44470</v>
      </c>
      <c r="D18" s="27">
        <v>33568000</v>
      </c>
      <c r="E18" s="27">
        <v>33568000</v>
      </c>
      <c r="F18" s="32">
        <f t="shared" si="1"/>
        <v>33568</v>
      </c>
      <c r="G18" s="89">
        <v>0.96530000000000005</v>
      </c>
      <c r="H18" s="29">
        <f t="shared" si="0"/>
        <v>32403.190400000003</v>
      </c>
    </row>
    <row r="19" spans="3:9" ht="15" customHeight="1" x14ac:dyDescent="0.25">
      <c r="C19" s="35">
        <v>44501</v>
      </c>
      <c r="D19" s="27">
        <v>30192000</v>
      </c>
      <c r="E19" s="27">
        <v>30192000</v>
      </c>
      <c r="F19" s="32">
        <f t="shared" si="1"/>
        <v>30192</v>
      </c>
      <c r="G19" s="89">
        <v>0.96530000000000005</v>
      </c>
      <c r="H19" s="29">
        <f t="shared" si="0"/>
        <v>29144.337600000003</v>
      </c>
    </row>
    <row r="20" spans="3:9" ht="15.75" customHeight="1" thickBot="1" x14ac:dyDescent="0.3">
      <c r="C20" s="36">
        <v>44531</v>
      </c>
      <c r="D20" s="28">
        <v>26592000</v>
      </c>
      <c r="E20" s="27">
        <v>26592000</v>
      </c>
      <c r="F20" s="32">
        <f>+MIN(D20,E20)/1000</f>
        <v>26592</v>
      </c>
      <c r="G20" s="89">
        <v>0.96530000000000005</v>
      </c>
      <c r="H20" s="30">
        <f t="shared" si="0"/>
        <v>25669.257600000001</v>
      </c>
      <c r="I20" s="31"/>
    </row>
    <row r="21" spans="3:9" ht="15.75" customHeight="1" thickBot="1" x14ac:dyDescent="0.3">
      <c r="C21" s="222" t="s">
        <v>54</v>
      </c>
      <c r="D21" s="223"/>
      <c r="E21" s="224"/>
      <c r="F21" s="37">
        <f>+SUM(F9:F20)</f>
        <v>371712</v>
      </c>
      <c r="G21" s="90"/>
      <c r="H21" s="38">
        <f>+ROUNDDOWN(SUM(H9:H20),0)</f>
        <v>358813</v>
      </c>
      <c r="I21" s="31"/>
    </row>
    <row r="22" spans="3:9" ht="15.75" thickBot="1" x14ac:dyDescent="0.3">
      <c r="C22" s="225" t="s">
        <v>1</v>
      </c>
      <c r="D22" s="226"/>
      <c r="E22" s="227"/>
      <c r="F22" s="39">
        <f>+SUM(F8,F21)</f>
        <v>469136</v>
      </c>
      <c r="G22" s="91"/>
      <c r="H22" s="39">
        <f>+SUM(H8,H21)</f>
        <v>452856</v>
      </c>
      <c r="I22" s="31"/>
    </row>
    <row r="23" spans="3:9" ht="15" customHeight="1" x14ac:dyDescent="0.25"/>
    <row r="26" spans="3:9" x14ac:dyDescent="0.25">
      <c r="H26" s="31"/>
    </row>
  </sheetData>
  <mergeCells count="3">
    <mergeCell ref="C8:E8"/>
    <mergeCell ref="C21:E21"/>
    <mergeCell ref="C22:E22"/>
  </mergeCells>
  <pageMargins left="0.7" right="0.7" top="0.75" bottom="0.75" header="0.3" footer="0.3"/>
  <pageSetup paperSize="9" orientation="portrait" horizontalDpi="4294967293" verticalDpi="4294967293" r:id="rId1"/>
  <ignoredErrors>
    <ignoredError sqref="F8 F21 H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5"/>
  <sheetViews>
    <sheetView workbookViewId="0">
      <selection activeCell="J4" sqref="J4"/>
    </sheetView>
  </sheetViews>
  <sheetFormatPr defaultColWidth="9.140625" defaultRowHeight="15" x14ac:dyDescent="0.25"/>
  <cols>
    <col min="1" max="1" width="9.140625" style="1"/>
    <col min="2" max="2" width="11.5703125" style="1" customWidth="1"/>
    <col min="3" max="3" width="19.85546875" style="1" bestFit="1" customWidth="1"/>
    <col min="4" max="4" width="19.85546875" style="1" customWidth="1"/>
    <col min="5" max="6" width="18.140625" style="1" customWidth="1"/>
    <col min="7" max="7" width="19.85546875" style="1" customWidth="1"/>
    <col min="8" max="8" width="23.28515625" style="1" bestFit="1" customWidth="1"/>
    <col min="9" max="9" width="21.140625" style="1" bestFit="1" customWidth="1"/>
    <col min="10" max="10" width="10.140625" style="1" customWidth="1"/>
    <col min="11" max="11" width="13" style="1" customWidth="1"/>
    <col min="12" max="12" width="9.140625" style="1"/>
    <col min="13" max="13" width="11.28515625" style="1" customWidth="1"/>
    <col min="14" max="14" width="11.7109375" style="1" customWidth="1"/>
    <col min="15" max="16384" width="9.140625" style="1"/>
  </cols>
  <sheetData>
    <row r="1" spans="2:10" ht="15.75" thickBot="1" x14ac:dyDescent="0.3"/>
    <row r="2" spans="2:10" ht="16.5" thickBot="1" x14ac:dyDescent="0.3">
      <c r="B2" s="52" t="s">
        <v>3</v>
      </c>
      <c r="C2" s="2" t="s">
        <v>45</v>
      </c>
      <c r="D2" s="26"/>
    </row>
    <row r="3" spans="2:10" ht="15.75" thickBot="1" x14ac:dyDescent="0.3"/>
    <row r="4" spans="2:10" ht="51.75" thickBot="1" x14ac:dyDescent="0.3">
      <c r="C4" s="85" t="s">
        <v>0</v>
      </c>
      <c r="D4" s="84" t="s">
        <v>56</v>
      </c>
      <c r="E4" s="84" t="s">
        <v>80</v>
      </c>
      <c r="F4" s="84" t="s">
        <v>28</v>
      </c>
      <c r="G4" s="84" t="s">
        <v>61</v>
      </c>
      <c r="H4" s="84" t="s">
        <v>27</v>
      </c>
      <c r="I4" s="86" t="s">
        <v>29</v>
      </c>
      <c r="J4" s="84" t="s">
        <v>77</v>
      </c>
    </row>
    <row r="5" spans="2:10" x14ac:dyDescent="0.25">
      <c r="C5" s="98">
        <v>44105</v>
      </c>
      <c r="D5" s="135">
        <v>4113.8329999999996</v>
      </c>
      <c r="E5" s="139">
        <f>D5*(1-0.2%)</f>
        <v>4105.6053339999999</v>
      </c>
      <c r="F5" s="163">
        <v>4113833</v>
      </c>
      <c r="G5" s="139">
        <f>F5/1000</f>
        <v>4113.8329999999996</v>
      </c>
      <c r="H5" s="166">
        <v>0.96530000000000005</v>
      </c>
      <c r="I5" s="139">
        <f>MIN(E5,G5)*H5</f>
        <v>3963.1408289102001</v>
      </c>
      <c r="J5" s="228">
        <f>ROUNDDOWN(SUM(I5:I7),0)</f>
        <v>17089</v>
      </c>
    </row>
    <row r="6" spans="2:10" x14ac:dyDescent="0.25">
      <c r="C6" s="48">
        <v>44136</v>
      </c>
      <c r="D6" s="136">
        <v>6817.7349999999997</v>
      </c>
      <c r="E6" s="96">
        <f t="shared" ref="E6:E18" si="0">D6*(1-0.2%)</f>
        <v>6804.0995299999995</v>
      </c>
      <c r="F6" s="161">
        <v>6817735</v>
      </c>
      <c r="G6" s="96">
        <f t="shared" ref="G6:G19" si="1">F6/1000</f>
        <v>6817.7349999999997</v>
      </c>
      <c r="H6" s="166">
        <v>0.96530000000000005</v>
      </c>
      <c r="I6" s="96">
        <f t="shared" ref="I6:I19" si="2">MIN(E6,G6)*H6</f>
        <v>6567.997276309</v>
      </c>
      <c r="J6" s="229"/>
    </row>
    <row r="7" spans="2:10" ht="15.75" thickBot="1" x14ac:dyDescent="0.3">
      <c r="C7" s="99">
        <v>44166</v>
      </c>
      <c r="D7" s="140">
        <v>6807.8410000000003</v>
      </c>
      <c r="E7" s="165">
        <f t="shared" si="0"/>
        <v>6794.2253180000007</v>
      </c>
      <c r="F7" s="162">
        <v>6807841</v>
      </c>
      <c r="G7" s="165">
        <f t="shared" si="1"/>
        <v>6807.8410000000003</v>
      </c>
      <c r="H7" s="167">
        <v>0.96530000000000005</v>
      </c>
      <c r="I7" s="165">
        <f t="shared" si="2"/>
        <v>6558.4656994654006</v>
      </c>
      <c r="J7" s="230"/>
    </row>
    <row r="8" spans="2:10" x14ac:dyDescent="0.25">
      <c r="C8" s="98">
        <v>44197</v>
      </c>
      <c r="D8" s="135">
        <v>7815.54</v>
      </c>
      <c r="E8" s="139">
        <f t="shared" si="0"/>
        <v>7799.9089199999999</v>
      </c>
      <c r="F8" s="163">
        <v>7815540</v>
      </c>
      <c r="G8" s="139">
        <f t="shared" si="1"/>
        <v>7815.54</v>
      </c>
      <c r="H8" s="168">
        <v>0.96530000000000005</v>
      </c>
      <c r="I8" s="139">
        <f t="shared" si="2"/>
        <v>7529.2520804760006</v>
      </c>
      <c r="J8" s="228">
        <f>ROUNDDOWN(SUM(I8:I19),0)</f>
        <v>90649</v>
      </c>
    </row>
    <row r="9" spans="2:10" x14ac:dyDescent="0.25">
      <c r="C9" s="48">
        <v>44228</v>
      </c>
      <c r="D9" s="136">
        <v>5204.6030000000001</v>
      </c>
      <c r="E9" s="96">
        <f t="shared" si="0"/>
        <v>5194.1937939999998</v>
      </c>
      <c r="F9" s="161">
        <v>5204603</v>
      </c>
      <c r="G9" s="96">
        <f t="shared" si="1"/>
        <v>5204.6030000000001</v>
      </c>
      <c r="H9" s="166">
        <v>0.96530000000000005</v>
      </c>
      <c r="I9" s="96">
        <f t="shared" si="2"/>
        <v>5013.9552693482001</v>
      </c>
      <c r="J9" s="229"/>
    </row>
    <row r="10" spans="2:10" x14ac:dyDescent="0.25">
      <c r="C10" s="48">
        <v>44256</v>
      </c>
      <c r="D10" s="136">
        <v>6783.3050000000003</v>
      </c>
      <c r="E10" s="96">
        <f t="shared" si="0"/>
        <v>6769.7383900000004</v>
      </c>
      <c r="F10" s="161">
        <v>6783305</v>
      </c>
      <c r="G10" s="96">
        <f t="shared" si="1"/>
        <v>6783.3050000000003</v>
      </c>
      <c r="H10" s="166">
        <v>0.96530000000000005</v>
      </c>
      <c r="I10" s="96">
        <f t="shared" si="2"/>
        <v>6534.8284678670007</v>
      </c>
      <c r="J10" s="229"/>
    </row>
    <row r="11" spans="2:10" x14ac:dyDescent="0.25">
      <c r="C11" s="48">
        <v>44287</v>
      </c>
      <c r="D11" s="136">
        <v>7411.5050000000001</v>
      </c>
      <c r="E11" s="96">
        <f t="shared" si="0"/>
        <v>7396.68199</v>
      </c>
      <c r="F11" s="161">
        <v>7411505</v>
      </c>
      <c r="G11" s="96">
        <f t="shared" si="1"/>
        <v>7411.5050000000001</v>
      </c>
      <c r="H11" s="166">
        <v>0.96530000000000005</v>
      </c>
      <c r="I11" s="96">
        <f t="shared" si="2"/>
        <v>7140.0171249470004</v>
      </c>
      <c r="J11" s="229"/>
    </row>
    <row r="12" spans="2:10" x14ac:dyDescent="0.25">
      <c r="C12" s="48">
        <v>44317</v>
      </c>
      <c r="D12" s="136">
        <v>8928.6939999999995</v>
      </c>
      <c r="E12" s="96">
        <f t="shared" si="0"/>
        <v>8910.8366119999991</v>
      </c>
      <c r="F12" s="161">
        <v>8928694</v>
      </c>
      <c r="G12" s="96">
        <f t="shared" si="1"/>
        <v>8928.6939999999995</v>
      </c>
      <c r="H12" s="166">
        <v>0.96530000000000005</v>
      </c>
      <c r="I12" s="96">
        <f t="shared" si="2"/>
        <v>8601.6305815635988</v>
      </c>
      <c r="J12" s="229"/>
    </row>
    <row r="13" spans="2:10" x14ac:dyDescent="0.25">
      <c r="C13" s="48">
        <v>44348</v>
      </c>
      <c r="D13" s="136">
        <v>6253.6750000000002</v>
      </c>
      <c r="E13" s="96">
        <f t="shared" si="0"/>
        <v>6241.1676500000003</v>
      </c>
      <c r="F13" s="161">
        <v>6253675</v>
      </c>
      <c r="G13" s="96">
        <f t="shared" si="1"/>
        <v>6253.6750000000002</v>
      </c>
      <c r="H13" s="166">
        <v>0.96530000000000005</v>
      </c>
      <c r="I13" s="96">
        <f t="shared" si="2"/>
        <v>6024.5991325450004</v>
      </c>
      <c r="J13" s="229"/>
    </row>
    <row r="14" spans="2:10" x14ac:dyDescent="0.25">
      <c r="C14" s="48">
        <v>44378</v>
      </c>
      <c r="D14" s="136">
        <v>14610.550999999999</v>
      </c>
      <c r="E14" s="96">
        <f t="shared" si="0"/>
        <v>14581.329898</v>
      </c>
      <c r="F14" s="161">
        <v>14610551</v>
      </c>
      <c r="G14" s="96">
        <f t="shared" si="1"/>
        <v>14610.550999999999</v>
      </c>
      <c r="H14" s="166">
        <v>0.96530000000000005</v>
      </c>
      <c r="I14" s="96">
        <f t="shared" si="2"/>
        <v>14075.357750539401</v>
      </c>
      <c r="J14" s="229"/>
    </row>
    <row r="15" spans="2:10" x14ac:dyDescent="0.25">
      <c r="C15" s="48">
        <v>44409</v>
      </c>
      <c r="D15" s="136">
        <v>9421.5020000000004</v>
      </c>
      <c r="E15" s="96">
        <f t="shared" si="0"/>
        <v>9402.6589960000001</v>
      </c>
      <c r="F15" s="161">
        <v>9421502</v>
      </c>
      <c r="G15" s="96">
        <f t="shared" si="1"/>
        <v>9421.5020000000004</v>
      </c>
      <c r="H15" s="166">
        <v>0.96530000000000005</v>
      </c>
      <c r="I15" s="96">
        <f t="shared" si="2"/>
        <v>9076.386728838801</v>
      </c>
      <c r="J15" s="229"/>
    </row>
    <row r="16" spans="2:10" x14ac:dyDescent="0.25">
      <c r="C16" s="48">
        <v>44440</v>
      </c>
      <c r="D16" s="136">
        <v>6618.9920000000002</v>
      </c>
      <c r="E16" s="96">
        <f t="shared" si="0"/>
        <v>6605.7540159999999</v>
      </c>
      <c r="F16" s="161">
        <v>6618992</v>
      </c>
      <c r="G16" s="96">
        <f t="shared" si="1"/>
        <v>6618.9920000000002</v>
      </c>
      <c r="H16" s="166">
        <v>0.96530000000000005</v>
      </c>
      <c r="I16" s="96">
        <f t="shared" si="2"/>
        <v>6376.5343516448002</v>
      </c>
      <c r="J16" s="229"/>
    </row>
    <row r="17" spans="3:11" x14ac:dyDescent="0.25">
      <c r="C17" s="48">
        <v>44470</v>
      </c>
      <c r="D17" s="136">
        <v>3921.2550000000001</v>
      </c>
      <c r="E17" s="96">
        <f t="shared" si="0"/>
        <v>3913.4124900000002</v>
      </c>
      <c r="F17" s="161">
        <v>3921255</v>
      </c>
      <c r="G17" s="96">
        <f t="shared" si="1"/>
        <v>3921.2550000000001</v>
      </c>
      <c r="H17" s="166">
        <v>0.96530000000000005</v>
      </c>
      <c r="I17" s="96">
        <f t="shared" si="2"/>
        <v>3777.6170765970005</v>
      </c>
      <c r="J17" s="229"/>
    </row>
    <row r="18" spans="3:11" x14ac:dyDescent="0.25">
      <c r="C18" s="48">
        <v>44501</v>
      </c>
      <c r="D18" s="136">
        <v>7796.7569999999996</v>
      </c>
      <c r="E18" s="96">
        <f t="shared" si="0"/>
        <v>7781.1634859999995</v>
      </c>
      <c r="F18" s="161">
        <v>7796757</v>
      </c>
      <c r="G18" s="96">
        <f t="shared" si="1"/>
        <v>7796.7569999999996</v>
      </c>
      <c r="H18" s="166">
        <v>0.96530000000000005</v>
      </c>
      <c r="I18" s="96">
        <f t="shared" si="2"/>
        <v>7511.1571130357997</v>
      </c>
      <c r="J18" s="229"/>
    </row>
    <row r="19" spans="3:11" ht="15.75" thickBot="1" x14ac:dyDescent="0.3">
      <c r="C19" s="100">
        <v>44531</v>
      </c>
      <c r="D19" s="137">
        <v>9311.5859999999993</v>
      </c>
      <c r="E19" s="97">
        <v>9311.5859999999993</v>
      </c>
      <c r="F19" s="164">
        <v>9311586</v>
      </c>
      <c r="G19" s="97">
        <f t="shared" si="1"/>
        <v>9311.5859999999993</v>
      </c>
      <c r="H19" s="169">
        <v>0.96530000000000005</v>
      </c>
      <c r="I19" s="97">
        <f t="shared" si="2"/>
        <v>8988.4739657999999</v>
      </c>
      <c r="J19" s="229"/>
    </row>
    <row r="20" spans="3:11" ht="15.75" thickBot="1" x14ac:dyDescent="0.3">
      <c r="C20" s="92" t="s">
        <v>1</v>
      </c>
      <c r="D20" s="93">
        <f>ROUNDDOWN(SUM(D5:D19),0)</f>
        <v>111817</v>
      </c>
      <c r="E20" s="138">
        <f>ROUNDDOWN(SUM(E5:E19),0)</f>
        <v>111612</v>
      </c>
      <c r="F20" s="93">
        <f>ROUNDDOWN(SUM(F5:F19),0)</f>
        <v>111817374</v>
      </c>
      <c r="G20" s="138">
        <f>ROUNDDOWN(SUM(G5:G19),0)</f>
        <v>111817</v>
      </c>
      <c r="H20" s="94"/>
      <c r="I20" s="170"/>
      <c r="J20" s="95">
        <f>SUM(J5:J19)</f>
        <v>107738</v>
      </c>
      <c r="K20" s="31"/>
    </row>
    <row r="24" spans="3:11" x14ac:dyDescent="0.25">
      <c r="C24" s="4"/>
    </row>
    <row r="45" spans="3:3" x14ac:dyDescent="0.25">
      <c r="C45" s="1" t="e">
        <f>-E22:E26</f>
        <v>#VALUE!</v>
      </c>
    </row>
  </sheetData>
  <mergeCells count="2">
    <mergeCell ref="J8:J19"/>
    <mergeCell ref="J5:J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26"/>
  <sheetViews>
    <sheetView topLeftCell="R1" zoomScaleNormal="100" workbookViewId="0">
      <selection activeCell="V7" sqref="V7"/>
    </sheetView>
  </sheetViews>
  <sheetFormatPr defaultColWidth="9.140625" defaultRowHeight="15" x14ac:dyDescent="0.25"/>
  <cols>
    <col min="1" max="1" width="0" style="1" hidden="1" customWidth="1"/>
    <col min="2" max="2" width="9.140625" style="1"/>
    <col min="3" max="3" width="14" style="1" customWidth="1"/>
    <col min="4" max="14" width="12.7109375" style="1" customWidth="1"/>
    <col min="15" max="15" width="18.7109375" style="1" customWidth="1"/>
    <col min="16" max="16" width="27.28515625" style="1" bestFit="1" customWidth="1"/>
    <col min="17" max="17" width="21" style="1" bestFit="1" customWidth="1"/>
    <col min="18" max="19" width="21" style="1" customWidth="1"/>
    <col min="20" max="20" width="15.140625" style="1" customWidth="1"/>
    <col min="21" max="21" width="16.5703125" style="1" customWidth="1"/>
    <col min="22" max="22" width="16.140625" style="1" customWidth="1"/>
    <col min="23" max="27" width="11.42578125" style="1" customWidth="1"/>
    <col min="28" max="28" width="11.28515625" style="1" customWidth="1"/>
    <col min="29" max="29" width="11.7109375" style="1" customWidth="1"/>
    <col min="30" max="16384" width="9.140625" style="1"/>
  </cols>
  <sheetData>
    <row r="1" spans="2:22" ht="15.75" thickBot="1" x14ac:dyDescent="0.3"/>
    <row r="2" spans="2:22" ht="16.5" thickBot="1" x14ac:dyDescent="0.3">
      <c r="C2" s="52" t="s">
        <v>3</v>
      </c>
      <c r="D2" s="2" t="s">
        <v>44</v>
      </c>
      <c r="E2" s="78"/>
    </row>
    <row r="4" spans="2:22" ht="15.7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2" ht="21.75" customHeight="1" thickBot="1" x14ac:dyDescent="0.4">
      <c r="B5" s="3"/>
      <c r="C5" s="236" t="s">
        <v>0</v>
      </c>
      <c r="D5" s="245" t="s">
        <v>13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7"/>
      <c r="Q5" s="234" t="s">
        <v>14</v>
      </c>
      <c r="R5" s="234" t="s">
        <v>14</v>
      </c>
      <c r="S5" s="65"/>
      <c r="T5" s="4"/>
      <c r="U5" s="4"/>
    </row>
    <row r="6" spans="2:22" ht="24" thickBot="1" x14ac:dyDescent="0.4">
      <c r="C6" s="237"/>
      <c r="D6" s="242" t="s">
        <v>6</v>
      </c>
      <c r="E6" s="243"/>
      <c r="F6" s="244"/>
      <c r="G6" s="242" t="s">
        <v>7</v>
      </c>
      <c r="H6" s="243"/>
      <c r="I6" s="244"/>
      <c r="J6" s="242" t="s">
        <v>8</v>
      </c>
      <c r="K6" s="243"/>
      <c r="L6" s="244"/>
      <c r="M6" s="242" t="s">
        <v>9</v>
      </c>
      <c r="N6" s="243"/>
      <c r="O6" s="244"/>
      <c r="P6" s="53"/>
      <c r="Q6" s="235"/>
      <c r="R6" s="235"/>
      <c r="S6" s="65"/>
      <c r="T6" s="25"/>
      <c r="U6" s="25"/>
    </row>
    <row r="7" spans="2:22" ht="40.5" thickBot="1" x14ac:dyDescent="0.3">
      <c r="C7" s="238"/>
      <c r="D7" s="102" t="s">
        <v>10</v>
      </c>
      <c r="E7" s="102" t="s">
        <v>11</v>
      </c>
      <c r="F7" s="45" t="s">
        <v>46</v>
      </c>
      <c r="G7" s="102" t="s">
        <v>10</v>
      </c>
      <c r="H7" s="102" t="s">
        <v>11</v>
      </c>
      <c r="I7" s="45" t="s">
        <v>47</v>
      </c>
      <c r="J7" s="102" t="s">
        <v>10</v>
      </c>
      <c r="K7" s="102" t="s">
        <v>11</v>
      </c>
      <c r="L7" s="45" t="s">
        <v>47</v>
      </c>
      <c r="M7" s="102" t="s">
        <v>10</v>
      </c>
      <c r="N7" s="102" t="s">
        <v>11</v>
      </c>
      <c r="O7" s="45" t="s">
        <v>12</v>
      </c>
      <c r="P7" s="103" t="s">
        <v>48</v>
      </c>
      <c r="Q7" s="45" t="s">
        <v>62</v>
      </c>
      <c r="R7" s="45" t="s">
        <v>49</v>
      </c>
      <c r="S7" s="45" t="s">
        <v>41</v>
      </c>
      <c r="T7" s="45" t="s">
        <v>15</v>
      </c>
      <c r="U7" s="45" t="s">
        <v>2</v>
      </c>
      <c r="V7" s="55" t="s">
        <v>78</v>
      </c>
    </row>
    <row r="8" spans="2:22" ht="15" customHeight="1" x14ac:dyDescent="0.25">
      <c r="C8" s="72">
        <v>44105</v>
      </c>
      <c r="D8" s="13">
        <v>9413400</v>
      </c>
      <c r="E8" s="14">
        <v>69720</v>
      </c>
      <c r="F8" s="15">
        <f t="shared" ref="F8:F22" si="0">(D8-E8)</f>
        <v>9343680</v>
      </c>
      <c r="G8" s="13">
        <v>9239760</v>
      </c>
      <c r="H8" s="14">
        <v>49800</v>
      </c>
      <c r="I8" s="15">
        <f t="shared" ref="I8:I22" si="1">(G8-H8)</f>
        <v>9189960</v>
      </c>
      <c r="J8" s="13">
        <v>8479320</v>
      </c>
      <c r="K8" s="14">
        <v>53340</v>
      </c>
      <c r="L8" s="15">
        <f t="shared" ref="L8:L22" si="2">J8-K8</f>
        <v>8425980</v>
      </c>
      <c r="M8" s="13">
        <v>10008840</v>
      </c>
      <c r="N8" s="14">
        <v>44940</v>
      </c>
      <c r="O8" s="16">
        <f t="shared" ref="O8:O22" si="3">M8-N8</f>
        <v>9963900</v>
      </c>
      <c r="P8" s="17">
        <f t="shared" ref="P8:P22" si="4">+SUM(F8,I8,L8,O8)/1000</f>
        <v>36923.519999999997</v>
      </c>
      <c r="Q8" s="128">
        <f>9963119+14783154+11963819</f>
        <v>36710092</v>
      </c>
      <c r="R8" s="128">
        <f>Q8/1000</f>
        <v>36710.091999999997</v>
      </c>
      <c r="S8" s="18">
        <f>+MIN(P8,R8)</f>
        <v>36710.091999999997</v>
      </c>
      <c r="T8" s="186">
        <v>0.96530000000000005</v>
      </c>
      <c r="U8" s="18">
        <f>+MIN(R8,P8)*T8</f>
        <v>35436.251807599998</v>
      </c>
      <c r="V8" s="231">
        <f>ROUNDDOWN(SUM(U8:U10),0)</f>
        <v>95750</v>
      </c>
    </row>
    <row r="9" spans="2:22" ht="15" customHeight="1" x14ac:dyDescent="0.25">
      <c r="C9" s="70">
        <v>44136</v>
      </c>
      <c r="D9" s="5">
        <v>8385720</v>
      </c>
      <c r="E9" s="6">
        <v>75000</v>
      </c>
      <c r="F9" s="7">
        <f t="shared" si="0"/>
        <v>8310720</v>
      </c>
      <c r="G9" s="5">
        <v>9210000</v>
      </c>
      <c r="H9" s="6">
        <v>61320</v>
      </c>
      <c r="I9" s="7">
        <f t="shared" si="1"/>
        <v>9148680</v>
      </c>
      <c r="J9" s="5">
        <v>3340380</v>
      </c>
      <c r="K9" s="6">
        <v>19380</v>
      </c>
      <c r="L9" s="7">
        <f t="shared" si="2"/>
        <v>3321000</v>
      </c>
      <c r="M9" s="5">
        <v>8919120</v>
      </c>
      <c r="N9" s="6">
        <v>46140</v>
      </c>
      <c r="O9" s="8">
        <f t="shared" si="3"/>
        <v>8872980</v>
      </c>
      <c r="P9" s="9">
        <f t="shared" si="4"/>
        <v>29653.38</v>
      </c>
      <c r="Q9" s="129">
        <f>8000419+11870924+9606988</f>
        <v>29478331</v>
      </c>
      <c r="R9" s="128">
        <f>Q9/1000</f>
        <v>29478.330999999998</v>
      </c>
      <c r="S9" s="18">
        <f>+MIN(P9,R9)</f>
        <v>29478.330999999998</v>
      </c>
      <c r="T9" s="186">
        <v>0.96530000000000005</v>
      </c>
      <c r="U9" s="18">
        <f t="shared" ref="U9:U22" si="5">+MIN(R9,P9)*T9</f>
        <v>28455.4329143</v>
      </c>
      <c r="V9" s="232"/>
    </row>
    <row r="10" spans="2:22" ht="15.75" customHeight="1" thickBot="1" x14ac:dyDescent="0.3">
      <c r="C10" s="190">
        <v>44166</v>
      </c>
      <c r="D10" s="171">
        <v>8756040</v>
      </c>
      <c r="E10" s="172">
        <v>82740</v>
      </c>
      <c r="F10" s="173">
        <f t="shared" si="0"/>
        <v>8673300</v>
      </c>
      <c r="G10" s="171">
        <v>12503460</v>
      </c>
      <c r="H10" s="172">
        <v>81420</v>
      </c>
      <c r="I10" s="173">
        <f t="shared" si="1"/>
        <v>12422040</v>
      </c>
      <c r="J10" s="171">
        <v>2789280</v>
      </c>
      <c r="K10" s="172">
        <v>23460</v>
      </c>
      <c r="L10" s="173">
        <f t="shared" si="2"/>
        <v>2765820</v>
      </c>
      <c r="M10" s="171">
        <v>9393060</v>
      </c>
      <c r="N10" s="172">
        <v>50100</v>
      </c>
      <c r="O10" s="174">
        <f t="shared" si="3"/>
        <v>9342960</v>
      </c>
      <c r="P10" s="175">
        <f t="shared" si="4"/>
        <v>33204.120000000003</v>
      </c>
      <c r="Q10" s="176">
        <f>8957342+13290795+10756071</f>
        <v>33004208</v>
      </c>
      <c r="R10" s="177">
        <f>Q10/1000</f>
        <v>33004.207999999999</v>
      </c>
      <c r="S10" s="178">
        <f>+MIN(P10,R10)</f>
        <v>33004.207999999999</v>
      </c>
      <c r="T10" s="187">
        <v>0.96530000000000005</v>
      </c>
      <c r="U10" s="178">
        <f t="shared" si="5"/>
        <v>31858.9619824</v>
      </c>
      <c r="V10" s="232"/>
    </row>
    <row r="11" spans="2:22" ht="15" customHeight="1" x14ac:dyDescent="0.25">
      <c r="C11" s="191">
        <v>44197</v>
      </c>
      <c r="D11" s="182">
        <v>8463540</v>
      </c>
      <c r="E11" s="183">
        <v>83400</v>
      </c>
      <c r="F11" s="181">
        <f t="shared" si="0"/>
        <v>8380140</v>
      </c>
      <c r="G11" s="179">
        <v>11548200</v>
      </c>
      <c r="H11" s="180">
        <v>73080</v>
      </c>
      <c r="I11" s="181">
        <f t="shared" si="1"/>
        <v>11475120</v>
      </c>
      <c r="J11" s="179">
        <v>4258920</v>
      </c>
      <c r="K11" s="180">
        <v>36600</v>
      </c>
      <c r="L11" s="181">
        <f t="shared" si="2"/>
        <v>4222320</v>
      </c>
      <c r="M11" s="182">
        <v>8969640</v>
      </c>
      <c r="N11" s="183">
        <v>49980</v>
      </c>
      <c r="O11" s="184">
        <f t="shared" si="3"/>
        <v>8919660</v>
      </c>
      <c r="P11" s="185">
        <f t="shared" si="4"/>
        <v>32997.24</v>
      </c>
      <c r="Q11" s="131">
        <f>8899241+13204585+10686303</f>
        <v>32790129</v>
      </c>
      <c r="R11" s="131">
        <f>Q11/1000</f>
        <v>32790.129000000001</v>
      </c>
      <c r="S11" s="54">
        <f>+MIN(P11,R11)</f>
        <v>32790.129000000001</v>
      </c>
      <c r="T11" s="188">
        <v>0.96530000000000005</v>
      </c>
      <c r="U11" s="54">
        <f t="shared" si="5"/>
        <v>31652.311523700002</v>
      </c>
      <c r="V11" s="231">
        <f>ROUNDDOWN(SUM(U11:U22),0)</f>
        <v>407244</v>
      </c>
    </row>
    <row r="12" spans="2:22" ht="15" customHeight="1" x14ac:dyDescent="0.25">
      <c r="C12" s="70">
        <v>44228</v>
      </c>
      <c r="D12" s="5">
        <v>9000060</v>
      </c>
      <c r="E12" s="6">
        <v>68820</v>
      </c>
      <c r="F12" s="7">
        <f t="shared" si="0"/>
        <v>8931240</v>
      </c>
      <c r="G12" s="5">
        <v>11998740</v>
      </c>
      <c r="H12" s="6">
        <v>61500</v>
      </c>
      <c r="I12" s="7">
        <f t="shared" si="1"/>
        <v>11937240</v>
      </c>
      <c r="J12" s="5">
        <v>4540860</v>
      </c>
      <c r="K12" s="6">
        <v>31260</v>
      </c>
      <c r="L12" s="7">
        <f t="shared" si="2"/>
        <v>4509600</v>
      </c>
      <c r="M12" s="5">
        <v>9330240</v>
      </c>
      <c r="N12" s="6">
        <v>42060</v>
      </c>
      <c r="O12" s="8">
        <f t="shared" si="3"/>
        <v>9288180</v>
      </c>
      <c r="P12" s="9">
        <f t="shared" si="4"/>
        <v>34666.26</v>
      </c>
      <c r="Q12" s="128">
        <f>9353923+13879237+11232290</f>
        <v>34465450</v>
      </c>
      <c r="R12" s="128">
        <f>Q12/1000</f>
        <v>34465.449999999997</v>
      </c>
      <c r="S12" s="18">
        <f t="shared" ref="S12:S21" si="6">+MIN(P12,R12)</f>
        <v>34465.449999999997</v>
      </c>
      <c r="T12" s="186">
        <v>0.96530000000000005</v>
      </c>
      <c r="U12" s="18">
        <f t="shared" si="5"/>
        <v>33269.498885000001</v>
      </c>
      <c r="V12" s="232"/>
    </row>
    <row r="13" spans="2:22" ht="15" customHeight="1" x14ac:dyDescent="0.25">
      <c r="C13" s="70">
        <v>44256</v>
      </c>
      <c r="D13" s="5">
        <v>9553860</v>
      </c>
      <c r="E13" s="6">
        <v>62100</v>
      </c>
      <c r="F13" s="7">
        <f t="shared" si="0"/>
        <v>9491760</v>
      </c>
      <c r="G13" s="5">
        <v>13365360</v>
      </c>
      <c r="H13" s="6">
        <v>64140</v>
      </c>
      <c r="I13" s="7">
        <f t="shared" si="1"/>
        <v>13301220</v>
      </c>
      <c r="J13" s="5">
        <v>4851240</v>
      </c>
      <c r="K13" s="6">
        <v>31920</v>
      </c>
      <c r="L13" s="7">
        <f t="shared" si="2"/>
        <v>4819320</v>
      </c>
      <c r="M13" s="5">
        <v>9818160</v>
      </c>
      <c r="N13" s="6">
        <v>42660</v>
      </c>
      <c r="O13" s="8">
        <f t="shared" si="3"/>
        <v>9775500</v>
      </c>
      <c r="P13" s="9">
        <f t="shared" si="4"/>
        <v>37387.800000000003</v>
      </c>
      <c r="Q13" s="129">
        <f>10089394+14970519+12115451</f>
        <v>37175364</v>
      </c>
      <c r="R13" s="128">
        <f t="shared" ref="R13:R21" si="7">Q13/1000</f>
        <v>37175.364000000001</v>
      </c>
      <c r="S13" s="18">
        <f t="shared" si="6"/>
        <v>37175.364000000001</v>
      </c>
      <c r="T13" s="186">
        <v>0.96530000000000005</v>
      </c>
      <c r="U13" s="18">
        <f t="shared" si="5"/>
        <v>35885.378869200002</v>
      </c>
      <c r="V13" s="232"/>
    </row>
    <row r="14" spans="2:22" ht="15" customHeight="1" x14ac:dyDescent="0.25">
      <c r="C14" s="70">
        <v>44287</v>
      </c>
      <c r="D14" s="5">
        <v>9476280</v>
      </c>
      <c r="E14" s="19">
        <v>58140</v>
      </c>
      <c r="F14" s="7">
        <f t="shared" si="0"/>
        <v>9418140</v>
      </c>
      <c r="G14" s="20">
        <v>12150780</v>
      </c>
      <c r="H14" s="19">
        <v>64140</v>
      </c>
      <c r="I14" s="7">
        <f t="shared" si="1"/>
        <v>12086640</v>
      </c>
      <c r="J14" s="20">
        <v>4439040</v>
      </c>
      <c r="K14" s="19">
        <v>27120</v>
      </c>
      <c r="L14" s="7">
        <f t="shared" si="2"/>
        <v>4411920</v>
      </c>
      <c r="M14" s="20">
        <v>9808800</v>
      </c>
      <c r="N14" s="19">
        <v>42240</v>
      </c>
      <c r="O14" s="8">
        <f t="shared" si="3"/>
        <v>9766560</v>
      </c>
      <c r="P14" s="9">
        <f t="shared" si="4"/>
        <v>35683.26</v>
      </c>
      <c r="Q14" s="129">
        <f>9629382+14287960+11563065</f>
        <v>35480407</v>
      </c>
      <c r="R14" s="128">
        <f t="shared" si="7"/>
        <v>35480.406999999999</v>
      </c>
      <c r="S14" s="18">
        <f t="shared" si="6"/>
        <v>35480.406999999999</v>
      </c>
      <c r="T14" s="186">
        <v>0.96530000000000005</v>
      </c>
      <c r="U14" s="18">
        <f t="shared" si="5"/>
        <v>34249.236877100004</v>
      </c>
      <c r="V14" s="232"/>
    </row>
    <row r="15" spans="2:22" ht="15" customHeight="1" x14ac:dyDescent="0.25">
      <c r="C15" s="70">
        <v>44317</v>
      </c>
      <c r="D15" s="21">
        <v>9653820</v>
      </c>
      <c r="E15" s="19">
        <v>53460</v>
      </c>
      <c r="F15" s="7">
        <f t="shared" si="0"/>
        <v>9600360</v>
      </c>
      <c r="G15" s="20">
        <v>9735360</v>
      </c>
      <c r="H15" s="19">
        <v>46500</v>
      </c>
      <c r="I15" s="7">
        <f t="shared" si="1"/>
        <v>9688860</v>
      </c>
      <c r="J15" s="20">
        <v>9423840</v>
      </c>
      <c r="K15" s="19">
        <v>49560</v>
      </c>
      <c r="L15" s="7">
        <f t="shared" si="2"/>
        <v>9374280</v>
      </c>
      <c r="M15" s="20">
        <v>10045920</v>
      </c>
      <c r="N15" s="19">
        <v>40080</v>
      </c>
      <c r="O15" s="8">
        <f t="shared" si="3"/>
        <v>10005840</v>
      </c>
      <c r="P15" s="9">
        <f t="shared" si="4"/>
        <v>38669.339999999997</v>
      </c>
      <c r="Q15" s="129">
        <f>10435234+15483672+12530739</f>
        <v>38449645</v>
      </c>
      <c r="R15" s="128">
        <f t="shared" si="7"/>
        <v>38449.644999999997</v>
      </c>
      <c r="S15" s="18">
        <f t="shared" si="6"/>
        <v>38449.644999999997</v>
      </c>
      <c r="T15" s="186">
        <v>0.96530000000000005</v>
      </c>
      <c r="U15" s="18">
        <f t="shared" si="5"/>
        <v>37115.442318499998</v>
      </c>
      <c r="V15" s="232"/>
    </row>
    <row r="16" spans="2:22" ht="15" customHeight="1" x14ac:dyDescent="0.25">
      <c r="C16" s="70">
        <v>44348</v>
      </c>
      <c r="D16" s="21">
        <v>9887580</v>
      </c>
      <c r="E16" s="19">
        <v>49800</v>
      </c>
      <c r="F16" s="7">
        <f t="shared" si="0"/>
        <v>9837780</v>
      </c>
      <c r="G16" s="20">
        <v>9792480</v>
      </c>
      <c r="H16" s="19">
        <v>46800</v>
      </c>
      <c r="I16" s="7">
        <f t="shared" si="1"/>
        <v>9745680</v>
      </c>
      <c r="J16" s="20">
        <v>9475320</v>
      </c>
      <c r="K16" s="19">
        <v>48480</v>
      </c>
      <c r="L16" s="7">
        <f t="shared" si="2"/>
        <v>9426840</v>
      </c>
      <c r="M16" s="20">
        <v>10401420</v>
      </c>
      <c r="N16" s="19">
        <v>39060</v>
      </c>
      <c r="O16" s="8">
        <f t="shared" si="3"/>
        <v>10362360</v>
      </c>
      <c r="P16" s="9">
        <f t="shared" si="4"/>
        <v>39372.660000000003</v>
      </c>
      <c r="Q16" s="129">
        <f>10626149+15766951+12759993</f>
        <v>39153093</v>
      </c>
      <c r="R16" s="128">
        <f t="shared" si="7"/>
        <v>39153.093000000001</v>
      </c>
      <c r="S16" s="18">
        <f t="shared" si="6"/>
        <v>39153.093000000001</v>
      </c>
      <c r="T16" s="186">
        <v>0.96530000000000005</v>
      </c>
      <c r="U16" s="18">
        <f t="shared" si="5"/>
        <v>37794.480672900005</v>
      </c>
      <c r="V16" s="232"/>
    </row>
    <row r="17" spans="3:25" ht="15" customHeight="1" x14ac:dyDescent="0.25">
      <c r="C17" s="70">
        <v>44378</v>
      </c>
      <c r="D17" s="21">
        <v>9186900</v>
      </c>
      <c r="E17" s="19">
        <v>516900</v>
      </c>
      <c r="F17" s="7">
        <f t="shared" si="0"/>
        <v>8670000</v>
      </c>
      <c r="G17" s="20">
        <v>9031740</v>
      </c>
      <c r="H17" s="19">
        <v>49020</v>
      </c>
      <c r="I17" s="7">
        <f t="shared" si="1"/>
        <v>8982720</v>
      </c>
      <c r="J17" s="20">
        <v>8893620</v>
      </c>
      <c r="K17" s="19">
        <v>51360</v>
      </c>
      <c r="L17" s="7">
        <f t="shared" si="2"/>
        <v>8842260</v>
      </c>
      <c r="M17" s="20">
        <v>9723900</v>
      </c>
      <c r="N17" s="19">
        <v>39000</v>
      </c>
      <c r="O17" s="8">
        <f t="shared" si="3"/>
        <v>9684900</v>
      </c>
      <c r="P17" s="9">
        <f>+SUM(F17,I17,L17,O17)/1000</f>
        <v>36179.879999999997</v>
      </c>
      <c r="Q17" s="129">
        <f>9888148+14671913+11873794</f>
        <v>36433855</v>
      </c>
      <c r="R17" s="128">
        <f t="shared" si="7"/>
        <v>36433.855000000003</v>
      </c>
      <c r="S17" s="18">
        <f t="shared" si="6"/>
        <v>36179.879999999997</v>
      </c>
      <c r="T17" s="186">
        <v>0.96530000000000005</v>
      </c>
      <c r="U17" s="18">
        <f t="shared" si="5"/>
        <v>34924.438163999999</v>
      </c>
      <c r="V17" s="232"/>
    </row>
    <row r="18" spans="3:25" ht="15" customHeight="1" x14ac:dyDescent="0.25">
      <c r="C18" s="70">
        <v>44409</v>
      </c>
      <c r="D18" s="21">
        <v>9613440</v>
      </c>
      <c r="E18" s="19">
        <v>53160</v>
      </c>
      <c r="F18" s="7">
        <f t="shared" si="0"/>
        <v>9560280</v>
      </c>
      <c r="G18" s="20">
        <v>9599100</v>
      </c>
      <c r="H18" s="19">
        <v>49920</v>
      </c>
      <c r="I18" s="7">
        <f t="shared" si="1"/>
        <v>9549180</v>
      </c>
      <c r="J18" s="20">
        <v>9253080</v>
      </c>
      <c r="K18" s="19">
        <v>52980</v>
      </c>
      <c r="L18" s="7">
        <f t="shared" si="2"/>
        <v>9200100</v>
      </c>
      <c r="M18" s="20">
        <v>9618840</v>
      </c>
      <c r="N18" s="19">
        <v>40800</v>
      </c>
      <c r="O18" s="8">
        <f t="shared" si="3"/>
        <v>9578040</v>
      </c>
      <c r="P18" s="9">
        <f t="shared" si="4"/>
        <v>37887.599999999999</v>
      </c>
      <c r="Q18" s="129">
        <f>10223745+15169868+12276782</f>
        <v>37670395</v>
      </c>
      <c r="R18" s="128">
        <f t="shared" si="7"/>
        <v>37670.394999999997</v>
      </c>
      <c r="S18" s="18">
        <f t="shared" si="6"/>
        <v>37670.394999999997</v>
      </c>
      <c r="T18" s="186">
        <v>0.96530000000000005</v>
      </c>
      <c r="U18" s="18">
        <f t="shared" si="5"/>
        <v>36363.232293499997</v>
      </c>
      <c r="V18" s="232"/>
    </row>
    <row r="19" spans="3:25" ht="15" customHeight="1" x14ac:dyDescent="0.25">
      <c r="C19" s="70">
        <v>44440</v>
      </c>
      <c r="D19" s="21">
        <v>7887600</v>
      </c>
      <c r="E19" s="19">
        <v>57540</v>
      </c>
      <c r="F19" s="7">
        <f t="shared" si="0"/>
        <v>7830060</v>
      </c>
      <c r="G19" s="20">
        <v>7837560</v>
      </c>
      <c r="H19" s="19">
        <v>51480</v>
      </c>
      <c r="I19" s="7">
        <f t="shared" si="1"/>
        <v>7786080</v>
      </c>
      <c r="J19" s="20">
        <v>7527840</v>
      </c>
      <c r="K19" s="19">
        <v>53580</v>
      </c>
      <c r="L19" s="7">
        <f t="shared" si="2"/>
        <v>7474260</v>
      </c>
      <c r="M19" s="20">
        <v>7952220</v>
      </c>
      <c r="N19" s="19">
        <v>45060</v>
      </c>
      <c r="O19" s="8">
        <f t="shared" si="3"/>
        <v>7907160</v>
      </c>
      <c r="P19" s="9">
        <f t="shared" si="4"/>
        <v>30997.56</v>
      </c>
      <c r="Q19" s="129">
        <f>8362522+12408209+10041806</f>
        <v>30812537</v>
      </c>
      <c r="R19" s="128">
        <f t="shared" si="7"/>
        <v>30812.537</v>
      </c>
      <c r="S19" s="18">
        <f t="shared" si="6"/>
        <v>30812.537</v>
      </c>
      <c r="T19" s="186">
        <v>0.96530000000000005</v>
      </c>
      <c r="U19" s="18">
        <f t="shared" si="5"/>
        <v>29743.341966100001</v>
      </c>
      <c r="V19" s="232"/>
    </row>
    <row r="20" spans="3:25" ht="15" customHeight="1" x14ac:dyDescent="0.25">
      <c r="C20" s="70">
        <v>44470</v>
      </c>
      <c r="D20" s="5">
        <f>9671520*(1-0.2%)</f>
        <v>9652176.9600000009</v>
      </c>
      <c r="E20" s="6">
        <f>62700*(1+0.2%)</f>
        <v>62825.4</v>
      </c>
      <c r="F20" s="7">
        <f t="shared" si="0"/>
        <v>9589351.5600000005</v>
      </c>
      <c r="G20" s="20">
        <v>9232320</v>
      </c>
      <c r="H20" s="19">
        <v>56340</v>
      </c>
      <c r="I20" s="7">
        <f t="shared" si="1"/>
        <v>9175980</v>
      </c>
      <c r="J20" s="20">
        <v>9196500</v>
      </c>
      <c r="K20" s="19">
        <v>56520</v>
      </c>
      <c r="L20" s="7">
        <f t="shared" si="2"/>
        <v>9139980</v>
      </c>
      <c r="M20" s="20">
        <v>10133220</v>
      </c>
      <c r="N20" s="19">
        <v>47580</v>
      </c>
      <c r="O20" s="8">
        <f t="shared" si="3"/>
        <v>10085640</v>
      </c>
      <c r="P20" s="9">
        <f t="shared" si="4"/>
        <v>37990.951560000001</v>
      </c>
      <c r="Q20" s="129">
        <f>10256306+12315881+15218181</f>
        <v>37790368</v>
      </c>
      <c r="R20" s="128">
        <f t="shared" si="7"/>
        <v>37790.368000000002</v>
      </c>
      <c r="S20" s="18">
        <f t="shared" si="6"/>
        <v>37790.368000000002</v>
      </c>
      <c r="T20" s="186">
        <v>0.96530000000000005</v>
      </c>
      <c r="U20" s="18">
        <f t="shared" si="5"/>
        <v>36479.042230400002</v>
      </c>
      <c r="V20" s="232"/>
    </row>
    <row r="21" spans="3:25" ht="15" customHeight="1" x14ac:dyDescent="0.25">
      <c r="C21" s="70">
        <v>44501</v>
      </c>
      <c r="D21" s="20">
        <v>8401260</v>
      </c>
      <c r="E21" s="19">
        <v>67140</v>
      </c>
      <c r="F21" s="7">
        <f t="shared" si="0"/>
        <v>8334120</v>
      </c>
      <c r="G21" s="20">
        <v>8213700</v>
      </c>
      <c r="H21" s="19">
        <v>54900</v>
      </c>
      <c r="I21" s="7">
        <f t="shared" si="1"/>
        <v>8158800</v>
      </c>
      <c r="J21" s="20">
        <v>7979520</v>
      </c>
      <c r="K21" s="19">
        <v>56820</v>
      </c>
      <c r="L21" s="7">
        <f t="shared" si="2"/>
        <v>7922700</v>
      </c>
      <c r="M21" s="20">
        <v>8713560</v>
      </c>
      <c r="N21" s="19">
        <v>46680</v>
      </c>
      <c r="O21" s="8">
        <f t="shared" si="3"/>
        <v>8666880</v>
      </c>
      <c r="P21" s="9">
        <f t="shared" si="4"/>
        <v>33082.5</v>
      </c>
      <c r="Q21" s="129">
        <f>8926986+10719619+13245752</f>
        <v>32892357</v>
      </c>
      <c r="R21" s="128">
        <f t="shared" si="7"/>
        <v>32892.357000000004</v>
      </c>
      <c r="S21" s="18">
        <f t="shared" si="6"/>
        <v>32892.357000000004</v>
      </c>
      <c r="T21" s="186">
        <v>0.96530000000000005</v>
      </c>
      <c r="U21" s="18">
        <f t="shared" si="5"/>
        <v>31750.992212100005</v>
      </c>
      <c r="V21" s="232"/>
    </row>
    <row r="22" spans="3:25" ht="15.75" customHeight="1" thickBot="1" x14ac:dyDescent="0.3">
      <c r="C22" s="71">
        <v>44531</v>
      </c>
      <c r="D22" s="22">
        <v>7294080</v>
      </c>
      <c r="E22" s="23">
        <v>75480</v>
      </c>
      <c r="F22" s="10">
        <f t="shared" si="0"/>
        <v>7218600</v>
      </c>
      <c r="G22" s="22">
        <v>7286040</v>
      </c>
      <c r="H22" s="23">
        <v>56520</v>
      </c>
      <c r="I22" s="10">
        <f t="shared" si="1"/>
        <v>7229520</v>
      </c>
      <c r="J22" s="22">
        <v>7058940</v>
      </c>
      <c r="K22" s="23">
        <v>59640</v>
      </c>
      <c r="L22" s="10">
        <f t="shared" si="2"/>
        <v>6999300</v>
      </c>
      <c r="M22" s="22">
        <v>7629480</v>
      </c>
      <c r="N22" s="23">
        <v>49500</v>
      </c>
      <c r="O22" s="11">
        <f t="shared" si="3"/>
        <v>7579980</v>
      </c>
      <c r="P22" s="12">
        <f t="shared" si="4"/>
        <v>29027.4</v>
      </c>
      <c r="Q22" s="130">
        <f>8000419+11820924+9202988</f>
        <v>29024331</v>
      </c>
      <c r="R22" s="141">
        <f>Q22/1000</f>
        <v>29024.330999999998</v>
      </c>
      <c r="S22" s="66">
        <f>+MIN(P22,R22)</f>
        <v>29024.330999999998</v>
      </c>
      <c r="T22" s="189">
        <v>0.96530000000000005</v>
      </c>
      <c r="U22" s="66">
        <f t="shared" si="5"/>
        <v>28017.186714299998</v>
      </c>
      <c r="V22" s="233"/>
    </row>
    <row r="23" spans="3:25" ht="16.5" thickBot="1" x14ac:dyDescent="0.3">
      <c r="C23" s="67" t="s">
        <v>1</v>
      </c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1"/>
      <c r="P23" s="69">
        <f>ROUNDDOWN(SUM(P8:P22),0)</f>
        <v>523723</v>
      </c>
      <c r="Q23" s="69"/>
      <c r="R23" s="69">
        <f>ROUNDDOWN(SUM(R8:R22),0)</f>
        <v>521330</v>
      </c>
      <c r="S23" s="69">
        <f>+SUM(S8:S22)</f>
        <v>521076.58700000012</v>
      </c>
      <c r="T23" s="68"/>
      <c r="U23" s="69"/>
      <c r="V23" s="73">
        <f>SUM(V8,V11)</f>
        <v>502994</v>
      </c>
      <c r="W23" s="24"/>
      <c r="Y23" s="24"/>
    </row>
    <row r="26" spans="3:25" x14ac:dyDescent="0.25">
      <c r="P26" s="24"/>
    </row>
  </sheetData>
  <mergeCells count="11">
    <mergeCell ref="V8:V10"/>
    <mergeCell ref="V11:V22"/>
    <mergeCell ref="Q5:Q6"/>
    <mergeCell ref="C5:C7"/>
    <mergeCell ref="D23:O23"/>
    <mergeCell ref="D6:F6"/>
    <mergeCell ref="G6:I6"/>
    <mergeCell ref="J6:L6"/>
    <mergeCell ref="M6:O6"/>
    <mergeCell ref="D5:P5"/>
    <mergeCell ref="R5:R6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24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9.140625" style="1"/>
    <col min="2" max="2" width="10.7109375" style="1" customWidth="1"/>
    <col min="3" max="3" width="15.140625" style="1" customWidth="1"/>
    <col min="4" max="4" width="13" style="1" customWidth="1"/>
    <col min="5" max="5" width="14" style="1" customWidth="1"/>
    <col min="6" max="7" width="12.7109375" style="1" customWidth="1"/>
    <col min="8" max="8" width="15.85546875" style="1" customWidth="1"/>
    <col min="9" max="10" width="12.5703125" style="1" customWidth="1"/>
    <col min="11" max="11" width="13.140625" style="1" customWidth="1"/>
    <col min="12" max="12" width="12.5703125" style="1" customWidth="1"/>
    <col min="13" max="13" width="13" style="1" customWidth="1"/>
    <col min="14" max="16384" width="9.140625" style="1"/>
  </cols>
  <sheetData>
    <row r="2" spans="2:13" ht="15.75" thickBot="1" x14ac:dyDescent="0.3"/>
    <row r="3" spans="2:13" ht="16.5" thickBot="1" x14ac:dyDescent="0.3">
      <c r="B3" s="46" t="s">
        <v>3</v>
      </c>
      <c r="C3" s="113" t="s">
        <v>4</v>
      </c>
      <c r="D3" s="249"/>
      <c r="E3" s="249"/>
      <c r="F3" s="250"/>
    </row>
    <row r="4" spans="2:13" ht="15.75" thickBot="1" x14ac:dyDescent="0.3">
      <c r="B4" s="251" t="s">
        <v>36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2:13" ht="39" thickBot="1" x14ac:dyDescent="0.3">
      <c r="B5" s="46" t="s">
        <v>0</v>
      </c>
      <c r="C5" s="79" t="s">
        <v>31</v>
      </c>
      <c r="D5" s="79" t="s">
        <v>32</v>
      </c>
      <c r="E5" s="79" t="s">
        <v>57</v>
      </c>
      <c r="F5" s="79" t="s">
        <v>31</v>
      </c>
      <c r="G5" s="79" t="s">
        <v>32</v>
      </c>
      <c r="H5" s="79" t="s">
        <v>58</v>
      </c>
      <c r="I5" s="79" t="s">
        <v>59</v>
      </c>
      <c r="J5" s="79" t="s">
        <v>52</v>
      </c>
      <c r="K5" s="79" t="s">
        <v>33</v>
      </c>
      <c r="L5" s="79" t="s">
        <v>34</v>
      </c>
      <c r="M5" s="80" t="s">
        <v>79</v>
      </c>
    </row>
    <row r="6" spans="2:13" ht="15.75" thickBot="1" x14ac:dyDescent="0.3">
      <c r="B6" s="124"/>
      <c r="C6" s="255" t="s">
        <v>35</v>
      </c>
      <c r="D6" s="256"/>
      <c r="E6" s="256"/>
      <c r="F6" s="257" t="s">
        <v>60</v>
      </c>
      <c r="G6" s="256"/>
      <c r="H6" s="256"/>
      <c r="I6" s="118" t="s">
        <v>51</v>
      </c>
      <c r="J6" s="143"/>
      <c r="K6" s="81"/>
      <c r="L6" s="81"/>
      <c r="M6" s="82"/>
    </row>
    <row r="7" spans="2:13" ht="15" customHeight="1" x14ac:dyDescent="0.25">
      <c r="B7" s="83">
        <v>44105</v>
      </c>
      <c r="C7" s="119">
        <v>5565870.1958999988</v>
      </c>
      <c r="D7" s="115">
        <v>29918.644</v>
      </c>
      <c r="E7" s="114">
        <f>(C7-D7)/1000</f>
        <v>5535.9515518999988</v>
      </c>
      <c r="F7" s="114">
        <v>4512732.5180000002</v>
      </c>
      <c r="G7" s="116">
        <v>24211.886900000001</v>
      </c>
      <c r="H7" s="117">
        <f>(F7-G7)/1000</f>
        <v>4488.5206311000002</v>
      </c>
      <c r="I7" s="117">
        <f t="shared" ref="I7:I21" si="0">E7+H7</f>
        <v>10024.472182999998</v>
      </c>
      <c r="J7" s="117">
        <v>10024.472182999998</v>
      </c>
      <c r="K7" s="89">
        <v>0.96530000000000005</v>
      </c>
      <c r="L7" s="125">
        <f t="shared" ref="L7:L21" si="1">+I7*K7</f>
        <v>9676.622998249899</v>
      </c>
      <c r="M7" s="231">
        <f>ROUNDDOWN(SUM(L7:L9),0)</f>
        <v>29188</v>
      </c>
    </row>
    <row r="8" spans="2:13" ht="15" customHeight="1" x14ac:dyDescent="0.25">
      <c r="B8" s="48">
        <v>44136</v>
      </c>
      <c r="C8" s="120">
        <v>5493157.5484999996</v>
      </c>
      <c r="D8" s="104">
        <v>29699.775099999995</v>
      </c>
      <c r="E8" s="104">
        <f t="shared" ref="E8:E21" si="2">(C8-D8)/1000</f>
        <v>5463.4577733999995</v>
      </c>
      <c r="F8" s="104">
        <v>4428730.564199999</v>
      </c>
      <c r="G8" s="107">
        <v>23879.383699999998</v>
      </c>
      <c r="H8" s="108">
        <f>(F8-G8)/1000</f>
        <v>4404.8511804999989</v>
      </c>
      <c r="I8" s="108">
        <f t="shared" si="0"/>
        <v>9868.3089538999993</v>
      </c>
      <c r="J8" s="108">
        <v>9868.3089538999993</v>
      </c>
      <c r="K8" s="89">
        <v>0.96530000000000005</v>
      </c>
      <c r="L8" s="126">
        <f t="shared" si="1"/>
        <v>9525.8786331996689</v>
      </c>
      <c r="M8" s="232"/>
    </row>
    <row r="9" spans="2:13" ht="15" customHeight="1" x14ac:dyDescent="0.25">
      <c r="B9" s="48">
        <v>44166</v>
      </c>
      <c r="C9" s="120">
        <v>5764730.5263999989</v>
      </c>
      <c r="D9" s="104">
        <v>31450.483200000006</v>
      </c>
      <c r="E9" s="104">
        <f t="shared" si="2"/>
        <v>5733.2800431999995</v>
      </c>
      <c r="F9" s="104">
        <v>4637390.7389000002</v>
      </c>
      <c r="G9" s="104">
        <v>25207.110199999992</v>
      </c>
      <c r="H9" s="108">
        <f t="shared" ref="H9:H21" si="3">(F9-G9)/1000</f>
        <v>4612.1836287000006</v>
      </c>
      <c r="I9" s="108">
        <f t="shared" si="0"/>
        <v>10345.463671900001</v>
      </c>
      <c r="J9" s="108">
        <v>10345.463671900001</v>
      </c>
      <c r="K9" s="89">
        <v>0.96530000000000005</v>
      </c>
      <c r="L9" s="126">
        <f t="shared" si="1"/>
        <v>9986.4760824850709</v>
      </c>
      <c r="M9" s="254"/>
    </row>
    <row r="10" spans="2:13" ht="15" customHeight="1" x14ac:dyDescent="0.25">
      <c r="B10" s="48">
        <v>44197</v>
      </c>
      <c r="C10" s="120">
        <v>5863443.6771000018</v>
      </c>
      <c r="D10" s="104">
        <v>32142.651400000002</v>
      </c>
      <c r="E10" s="104">
        <f t="shared" si="2"/>
        <v>5831.3010257000024</v>
      </c>
      <c r="F10" s="104">
        <v>4726953.5206999984</v>
      </c>
      <c r="G10" s="104">
        <v>25828.636499999993</v>
      </c>
      <c r="H10" s="108">
        <f t="shared" si="3"/>
        <v>4701.1248841999986</v>
      </c>
      <c r="I10" s="108">
        <f t="shared" si="0"/>
        <v>10532.425909900001</v>
      </c>
      <c r="J10" s="108">
        <v>10532.425909900001</v>
      </c>
      <c r="K10" s="89">
        <v>0.96530000000000005</v>
      </c>
      <c r="L10" s="126">
        <f t="shared" si="1"/>
        <v>10166.950730826471</v>
      </c>
      <c r="M10" s="248">
        <f>ROUNDDOWN(SUM(L10:L21),0)</f>
        <v>133036</v>
      </c>
    </row>
    <row r="11" spans="2:13" ht="15" customHeight="1" x14ac:dyDescent="0.25">
      <c r="B11" s="48">
        <v>44228</v>
      </c>
      <c r="C11" s="120">
        <v>5403187.7753999997</v>
      </c>
      <c r="D11" s="104">
        <v>29578.891599999995</v>
      </c>
      <c r="E11" s="104">
        <f t="shared" si="2"/>
        <v>5373.6088837999996</v>
      </c>
      <c r="F11" s="104">
        <v>4371807.2508999994</v>
      </c>
      <c r="G11" s="104">
        <v>23856.249899999995</v>
      </c>
      <c r="H11" s="108">
        <f t="shared" si="3"/>
        <v>4347.9510009999995</v>
      </c>
      <c r="I11" s="108">
        <f t="shared" si="0"/>
        <v>9721.5598847999991</v>
      </c>
      <c r="J11" s="108">
        <v>9721.5598847999991</v>
      </c>
      <c r="K11" s="89">
        <v>0.96530000000000005</v>
      </c>
      <c r="L11" s="126">
        <f t="shared" si="1"/>
        <v>9384.2217567974403</v>
      </c>
      <c r="M11" s="232"/>
    </row>
    <row r="12" spans="2:13" ht="15" customHeight="1" x14ac:dyDescent="0.25">
      <c r="B12" s="48">
        <v>44256</v>
      </c>
      <c r="C12" s="120">
        <v>6106452.1144000003</v>
      </c>
      <c r="D12" s="104">
        <v>33350.332500000004</v>
      </c>
      <c r="E12" s="104">
        <f t="shared" si="2"/>
        <v>6073.1017819000008</v>
      </c>
      <c r="F12" s="104">
        <v>4952919.6309999991</v>
      </c>
      <c r="G12" s="104">
        <v>26948.992400000003</v>
      </c>
      <c r="H12" s="108">
        <f t="shared" si="3"/>
        <v>4925.9706385999989</v>
      </c>
      <c r="I12" s="108">
        <f t="shared" si="0"/>
        <v>10999.072420500001</v>
      </c>
      <c r="J12" s="108">
        <v>10999.072420500001</v>
      </c>
      <c r="K12" s="89">
        <v>0.96530000000000005</v>
      </c>
      <c r="L12" s="126">
        <f t="shared" si="1"/>
        <v>10617.404607508652</v>
      </c>
      <c r="M12" s="232"/>
    </row>
    <row r="13" spans="2:13" ht="15" customHeight="1" x14ac:dyDescent="0.25">
      <c r="B13" s="48">
        <v>44287</v>
      </c>
      <c r="C13" s="121">
        <v>6026543.9500999972</v>
      </c>
      <c r="D13" s="105">
        <v>32861.494200000001</v>
      </c>
      <c r="E13" s="104">
        <f t="shared" si="2"/>
        <v>5993.6824558999979</v>
      </c>
      <c r="F13" s="132">
        <v>4898860.6567000011</v>
      </c>
      <c r="G13" s="105">
        <v>26594.000500000002</v>
      </c>
      <c r="H13" s="108">
        <f t="shared" si="3"/>
        <v>4872.2666562000013</v>
      </c>
      <c r="I13" s="108">
        <f t="shared" si="0"/>
        <v>10865.949112099999</v>
      </c>
      <c r="J13" s="108">
        <v>10865.949112099999</v>
      </c>
      <c r="K13" s="89">
        <v>0.96530000000000005</v>
      </c>
      <c r="L13" s="126">
        <f t="shared" si="1"/>
        <v>10488.900677910129</v>
      </c>
      <c r="M13" s="232"/>
    </row>
    <row r="14" spans="2:13" ht="15" customHeight="1" x14ac:dyDescent="0.25">
      <c r="B14" s="48">
        <v>44317</v>
      </c>
      <c r="C14" s="121">
        <v>6345029.7489</v>
      </c>
      <c r="D14" s="105">
        <v>34538.90600000001</v>
      </c>
      <c r="E14" s="104">
        <f t="shared" si="2"/>
        <v>6310.4908428999997</v>
      </c>
      <c r="F14" s="132">
        <v>5169301.5193000017</v>
      </c>
      <c r="G14" s="105">
        <v>28007.010999999999</v>
      </c>
      <c r="H14" s="108">
        <f t="shared" si="3"/>
        <v>5141.2945083000013</v>
      </c>
      <c r="I14" s="108">
        <f t="shared" si="0"/>
        <v>11451.7853512</v>
      </c>
      <c r="J14" s="108">
        <v>11451.7853512</v>
      </c>
      <c r="K14" s="89">
        <v>0.96530000000000005</v>
      </c>
      <c r="L14" s="126">
        <f t="shared" si="1"/>
        <v>11054.408399513361</v>
      </c>
      <c r="M14" s="232"/>
    </row>
    <row r="15" spans="2:13" ht="15" customHeight="1" x14ac:dyDescent="0.25">
      <c r="B15" s="48">
        <v>44348</v>
      </c>
      <c r="C15" s="121">
        <v>6248721.7778999982</v>
      </c>
      <c r="D15" s="105">
        <v>33969.868000000002</v>
      </c>
      <c r="E15" s="104">
        <f t="shared" si="2"/>
        <v>6214.7519098999983</v>
      </c>
      <c r="F15" s="132">
        <v>5102182.2427000012</v>
      </c>
      <c r="G15" s="105">
        <v>27604.0972</v>
      </c>
      <c r="H15" s="108">
        <f t="shared" si="3"/>
        <v>5074.5781455000015</v>
      </c>
      <c r="I15" s="108">
        <f t="shared" si="0"/>
        <v>11289.3300554</v>
      </c>
      <c r="J15" s="108">
        <v>11289.3300554</v>
      </c>
      <c r="K15" s="89">
        <v>0.96530000000000005</v>
      </c>
      <c r="L15" s="126">
        <f t="shared" si="1"/>
        <v>10897.59030247762</v>
      </c>
      <c r="M15" s="232"/>
    </row>
    <row r="16" spans="2:13" ht="15" customHeight="1" x14ac:dyDescent="0.25">
      <c r="B16" s="48">
        <v>44378</v>
      </c>
      <c r="C16" s="121">
        <v>6544282.3678000001</v>
      </c>
      <c r="D16" s="105">
        <v>35575.719899999996</v>
      </c>
      <c r="E16" s="104">
        <f t="shared" si="2"/>
        <v>6508.7066479000005</v>
      </c>
      <c r="F16" s="132">
        <v>5376229.3890999984</v>
      </c>
      <c r="G16" s="105">
        <v>29140.179100000001</v>
      </c>
      <c r="H16" s="108">
        <f t="shared" si="3"/>
        <v>5347.0892099999983</v>
      </c>
      <c r="I16" s="108">
        <f t="shared" si="0"/>
        <v>11855.795857899999</v>
      </c>
      <c r="J16" s="108">
        <v>11855.795857899999</v>
      </c>
      <c r="K16" s="89">
        <v>0.96530000000000005</v>
      </c>
      <c r="L16" s="126">
        <f t="shared" si="1"/>
        <v>11444.399741630868</v>
      </c>
      <c r="M16" s="232"/>
    </row>
    <row r="17" spans="2:15" ht="15" customHeight="1" x14ac:dyDescent="0.25">
      <c r="B17" s="48">
        <v>44409</v>
      </c>
      <c r="C17" s="122">
        <v>6624824.9862000002</v>
      </c>
      <c r="D17" s="106">
        <v>36077.237800000003</v>
      </c>
      <c r="E17" s="104">
        <f t="shared" si="2"/>
        <v>6588.7477484000001</v>
      </c>
      <c r="F17" s="133">
        <v>5480240.755499999</v>
      </c>
      <c r="G17" s="106">
        <v>29804.561199999996</v>
      </c>
      <c r="H17" s="108">
        <f t="shared" si="3"/>
        <v>5450.4361942999985</v>
      </c>
      <c r="I17" s="108">
        <f t="shared" si="0"/>
        <v>12039.183942699998</v>
      </c>
      <c r="J17" s="108">
        <v>12039.183942699998</v>
      </c>
      <c r="K17" s="89">
        <v>0.96530000000000005</v>
      </c>
      <c r="L17" s="126">
        <f t="shared" si="1"/>
        <v>11621.424259888308</v>
      </c>
      <c r="M17" s="232"/>
    </row>
    <row r="18" spans="2:15" ht="15" customHeight="1" x14ac:dyDescent="0.25">
      <c r="B18" s="48">
        <v>44440</v>
      </c>
      <c r="C18" s="122">
        <v>6502739.4092999995</v>
      </c>
      <c r="D18" s="106">
        <v>35518.266099999986</v>
      </c>
      <c r="E18" s="104">
        <f t="shared" si="2"/>
        <v>6467.2211431999995</v>
      </c>
      <c r="F18" s="133">
        <v>5387362.2207999993</v>
      </c>
      <c r="G18" s="106">
        <v>29393.928399999997</v>
      </c>
      <c r="H18" s="108">
        <f t="shared" si="3"/>
        <v>5357.9682923999999</v>
      </c>
      <c r="I18" s="108">
        <f t="shared" si="0"/>
        <v>11825.189435599999</v>
      </c>
      <c r="J18" s="108">
        <v>11825.189435599999</v>
      </c>
      <c r="K18" s="89">
        <v>0.96530000000000005</v>
      </c>
      <c r="L18" s="126">
        <f t="shared" si="1"/>
        <v>11414.85536218468</v>
      </c>
      <c r="M18" s="232"/>
    </row>
    <row r="19" spans="2:15" ht="15" customHeight="1" x14ac:dyDescent="0.25">
      <c r="B19" s="48">
        <v>44470</v>
      </c>
      <c r="C19" s="121">
        <v>6817725.0389</v>
      </c>
      <c r="D19" s="105">
        <v>37348.572699999997</v>
      </c>
      <c r="E19" s="104">
        <f t="shared" si="2"/>
        <v>6780.3764661999994</v>
      </c>
      <c r="F19" s="132">
        <v>5656810.0603999989</v>
      </c>
      <c r="G19" s="105">
        <v>30958.601299999998</v>
      </c>
      <c r="H19" s="108">
        <f t="shared" si="3"/>
        <v>5625.8514590999985</v>
      </c>
      <c r="I19" s="108">
        <f t="shared" si="0"/>
        <v>12406.227925299998</v>
      </c>
      <c r="J19" s="108">
        <v>12406.227925299998</v>
      </c>
      <c r="K19" s="89">
        <v>0.96530000000000005</v>
      </c>
      <c r="L19" s="126">
        <f t="shared" si="1"/>
        <v>11975.731816292089</v>
      </c>
      <c r="M19" s="232"/>
    </row>
    <row r="20" spans="2:15" ht="15" customHeight="1" x14ac:dyDescent="0.25">
      <c r="B20" s="48">
        <v>44501</v>
      </c>
      <c r="C20" s="121">
        <v>6668953.2977999998</v>
      </c>
      <c r="D20" s="105">
        <v>36788.821599999988</v>
      </c>
      <c r="E20" s="104">
        <f t="shared" si="2"/>
        <v>6632.1644761999996</v>
      </c>
      <c r="F20" s="132">
        <v>5539773.2267999994</v>
      </c>
      <c r="G20" s="105">
        <v>30542.6427</v>
      </c>
      <c r="H20" s="108">
        <f t="shared" si="3"/>
        <v>5509.2305840999998</v>
      </c>
      <c r="I20" s="108">
        <f t="shared" si="0"/>
        <v>12141.395060299999</v>
      </c>
      <c r="J20" s="108">
        <v>12141.395060299999</v>
      </c>
      <c r="K20" s="89">
        <v>0.96530000000000005</v>
      </c>
      <c r="L20" s="126">
        <f t="shared" si="1"/>
        <v>11720.088651707591</v>
      </c>
      <c r="M20" s="232"/>
    </row>
    <row r="21" spans="2:15" ht="15.75" customHeight="1" thickBot="1" x14ac:dyDescent="0.3">
      <c r="B21" s="100">
        <v>44531</v>
      </c>
      <c r="C21" s="123">
        <v>6965198.0008999994</v>
      </c>
      <c r="D21" s="109">
        <v>38693.118699999999</v>
      </c>
      <c r="E21" s="110">
        <f t="shared" si="2"/>
        <v>6926.504882199999</v>
      </c>
      <c r="F21" s="134">
        <v>5796200.3556999993</v>
      </c>
      <c r="G21" s="109">
        <v>32169.966900000003</v>
      </c>
      <c r="H21" s="111">
        <f t="shared" si="3"/>
        <v>5764.0303887999989</v>
      </c>
      <c r="I21" s="111">
        <f t="shared" si="0"/>
        <v>12690.535270999997</v>
      </c>
      <c r="J21" s="111">
        <v>12690.535270999997</v>
      </c>
      <c r="K21" s="89">
        <v>0.96530000000000005</v>
      </c>
      <c r="L21" s="127">
        <f t="shared" si="1"/>
        <v>12250.173697096297</v>
      </c>
      <c r="M21" s="233"/>
    </row>
    <row r="22" spans="2:15" ht="16.5" thickBot="1" x14ac:dyDescent="0.3">
      <c r="B22" s="67" t="s">
        <v>1</v>
      </c>
      <c r="C22" s="112">
        <f>SUM(C7:C21)</f>
        <v>92940860.4155</v>
      </c>
      <c r="D22" s="112">
        <f>SUM(D7:D21)</f>
        <v>507512.78279999999</v>
      </c>
      <c r="E22" s="112">
        <f>SUM(E7:E21)</f>
        <v>92433.34763270001</v>
      </c>
      <c r="F22" s="112">
        <f>SUM(F7:F21)</f>
        <v>76037494.650699988</v>
      </c>
      <c r="G22" s="112">
        <f t="shared" ref="G22" si="4">SUM(G7:G21)</f>
        <v>414147.24789999996</v>
      </c>
      <c r="H22" s="112">
        <f>SUM(H7:H21)</f>
        <v>75623.347402800006</v>
      </c>
      <c r="I22" s="69">
        <f>ROUNDDOWN(SUM(I7:I21),0)</f>
        <v>168056</v>
      </c>
      <c r="J22" s="69">
        <f>ROUNDDOWN(SUM(J7:J21),0)</f>
        <v>168056</v>
      </c>
      <c r="K22" s="101"/>
      <c r="L22" s="101">
        <v>156377</v>
      </c>
      <c r="M22" s="73">
        <f>SUM(M7:M21)</f>
        <v>162224</v>
      </c>
    </row>
    <row r="24" spans="2:15" x14ac:dyDescent="0.25">
      <c r="O24" s="24"/>
    </row>
  </sheetData>
  <mergeCells count="6">
    <mergeCell ref="M10:M21"/>
    <mergeCell ref="D3:F3"/>
    <mergeCell ref="B4:M4"/>
    <mergeCell ref="M7:M9"/>
    <mergeCell ref="C6:E6"/>
    <mergeCell ref="F6:H6"/>
  </mergeCells>
  <pageMargins left="0.7" right="0.7" top="0.75" bottom="0.75" header="0.3" footer="0.3"/>
  <pageSetup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978F-CB82-43B7-B07B-7720800C1995}">
  <dimension ref="C1:H6"/>
  <sheetViews>
    <sheetView workbookViewId="0">
      <selection activeCell="E9" sqref="E9"/>
    </sheetView>
  </sheetViews>
  <sheetFormatPr defaultRowHeight="15" x14ac:dyDescent="0.25"/>
  <cols>
    <col min="3" max="3" width="6.85546875" bestFit="1" customWidth="1"/>
    <col min="4" max="4" width="20.28515625" bestFit="1" customWidth="1"/>
    <col min="5" max="5" width="9.7109375" bestFit="1" customWidth="1"/>
    <col min="6" max="6" width="22.140625" bestFit="1" customWidth="1"/>
    <col min="7" max="7" width="31.28515625" bestFit="1" customWidth="1"/>
  </cols>
  <sheetData>
    <row r="1" spans="3:8" ht="15.75" thickBot="1" x14ac:dyDescent="0.3"/>
    <row r="2" spans="3:8" ht="16.5" thickBot="1" x14ac:dyDescent="0.3">
      <c r="C2" s="258" t="s">
        <v>64</v>
      </c>
      <c r="D2" s="259"/>
      <c r="E2" s="259"/>
      <c r="F2" s="259"/>
      <c r="G2" s="260"/>
    </row>
    <row r="3" spans="3:8" x14ac:dyDescent="0.25">
      <c r="C3" s="144" t="s">
        <v>69</v>
      </c>
      <c r="D3" s="147" t="s">
        <v>68</v>
      </c>
      <c r="E3" s="148" t="s">
        <v>73</v>
      </c>
      <c r="F3" s="154" t="s">
        <v>74</v>
      </c>
      <c r="G3" s="160" t="s">
        <v>73</v>
      </c>
    </row>
    <row r="4" spans="3:8" x14ac:dyDescent="0.25">
      <c r="C4" s="145" t="s">
        <v>65</v>
      </c>
      <c r="D4" s="149">
        <v>974716</v>
      </c>
      <c r="E4" s="150" t="s">
        <v>72</v>
      </c>
      <c r="F4" s="155">
        <f>D4*25</f>
        <v>24367900</v>
      </c>
      <c r="G4" s="157" t="s">
        <v>17</v>
      </c>
    </row>
    <row r="5" spans="3:8" x14ac:dyDescent="0.25">
      <c r="C5" s="145" t="s">
        <v>66</v>
      </c>
      <c r="D5" s="151">
        <v>0</v>
      </c>
      <c r="E5" s="150" t="s">
        <v>71</v>
      </c>
      <c r="F5" s="155">
        <v>338</v>
      </c>
      <c r="G5" s="158" t="s">
        <v>71</v>
      </c>
      <c r="H5" s="1"/>
    </row>
    <row r="6" spans="3:8" ht="15.75" thickBot="1" x14ac:dyDescent="0.3">
      <c r="C6" s="146" t="s">
        <v>67</v>
      </c>
      <c r="D6" s="152">
        <v>940891</v>
      </c>
      <c r="E6" s="153" t="s">
        <v>70</v>
      </c>
      <c r="F6" s="156">
        <f>D6*25</f>
        <v>23522275</v>
      </c>
      <c r="G6" s="159" t="s">
        <v>20</v>
      </c>
    </row>
  </sheetData>
  <mergeCells count="1">
    <mergeCell ref="C2:G2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Emission reductions</vt:lpstr>
      <vt:lpstr>Mandsaur</vt:lpstr>
      <vt:lpstr>Rojmal</vt:lpstr>
      <vt:lpstr>Bhadla </vt:lpstr>
      <vt:lpstr>Ananthpur</vt:lpstr>
      <vt:lpstr>SDGs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2023-09-05T06:28:51Z</dcterms:modified>
</cp:coreProperties>
</file>