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45f207df9234e50/Desktop/Carbon/VCS/verification/NTPC/Comments from VERRA/"/>
    </mc:Choice>
  </mc:AlternateContent>
  <xr:revisionPtr revIDLastSave="67" documentId="13_ncr:1_{E3D51100-BB2F-44A6-941D-D2702370C5E2}" xr6:coauthVersionLast="47" xr6:coauthVersionMax="47" xr10:uidLastSave="{1376923B-F206-43C0-92CE-733FBBF4275E}"/>
  <bookViews>
    <workbookView xWindow="-108" yWindow="-108" windowWidth="23256" windowHeight="12456" activeTab="1" xr2:uid="{00000000-000D-0000-FFFF-FFFF00000000}"/>
  </bookViews>
  <sheets>
    <sheet name="Emission Reduction" sheetId="4" r:id="rId1"/>
    <sheet name="50MW_AP" sheetId="8" r:id="rId2"/>
    <sheet name="260MW_RJ" sheetId="2" r:id="rId3"/>
    <sheet name="250MW_MP" sheetId="9" r:id="rId4"/>
    <sheet name="50MW_GJ" sheetId="10" r:id="rId5"/>
    <sheet name="Total" sheetId="5" r:id="rId6"/>
    <sheet name="Comparison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H30" i="4"/>
  <c r="G7" i="5"/>
  <c r="G14" i="5"/>
  <c r="Y16" i="9"/>
  <c r="L15" i="10"/>
  <c r="L17" i="10"/>
  <c r="C29" i="4"/>
  <c r="G16" i="5" l="1"/>
  <c r="D6" i="5"/>
  <c r="D7" i="5"/>
  <c r="D8" i="5"/>
  <c r="D9" i="5"/>
  <c r="D10" i="5"/>
  <c r="D11" i="5"/>
  <c r="D12" i="5"/>
  <c r="D13" i="5"/>
  <c r="D14" i="5"/>
  <c r="D15" i="5"/>
  <c r="D5" i="5"/>
  <c r="D4" i="5"/>
  <c r="J7" i="9"/>
  <c r="Y6" i="9"/>
  <c r="J6" i="9"/>
  <c r="T7" i="9"/>
  <c r="T6" i="9"/>
  <c r="P7" i="9"/>
  <c r="P6" i="9"/>
  <c r="F7" i="9"/>
  <c r="F6" i="9"/>
  <c r="L8" i="9"/>
  <c r="L7" i="9"/>
  <c r="L6" i="9"/>
  <c r="L6" i="10"/>
  <c r="L7" i="10"/>
  <c r="L8" i="10"/>
  <c r="C31" i="4" s="1"/>
  <c r="K10" i="4" s="1"/>
  <c r="L9" i="10"/>
  <c r="F8" i="5" s="1"/>
  <c r="L10" i="10"/>
  <c r="L11" i="10"/>
  <c r="L12" i="10"/>
  <c r="L13" i="10"/>
  <c r="F12" i="5" s="1"/>
  <c r="L14" i="10"/>
  <c r="L5" i="10"/>
  <c r="C28" i="4"/>
  <c r="E7" i="5"/>
  <c r="E8" i="5"/>
  <c r="E9" i="5"/>
  <c r="E10" i="5"/>
  <c r="E11" i="5"/>
  <c r="E12" i="5"/>
  <c r="E13" i="5"/>
  <c r="E14" i="5"/>
  <c r="E15" i="5"/>
  <c r="Y8" i="9"/>
  <c r="E6" i="5" s="1"/>
  <c r="Y9" i="9"/>
  <c r="Y10" i="9"/>
  <c r="Y11" i="9"/>
  <c r="Y12" i="9"/>
  <c r="Y13" i="9"/>
  <c r="Y14" i="9"/>
  <c r="Y15" i="9"/>
  <c r="Y17" i="9"/>
  <c r="V7" i="9"/>
  <c r="Y7" i="9" s="1"/>
  <c r="E5" i="5" s="1"/>
  <c r="V8" i="9"/>
  <c r="V9" i="9"/>
  <c r="V10" i="9"/>
  <c r="V11" i="9"/>
  <c r="V12" i="9"/>
  <c r="V13" i="9"/>
  <c r="V14" i="9"/>
  <c r="V15" i="9"/>
  <c r="V16" i="9"/>
  <c r="V17" i="9"/>
  <c r="V6" i="9"/>
  <c r="E4" i="5" s="1"/>
  <c r="T8" i="9"/>
  <c r="T9" i="9"/>
  <c r="T10" i="9"/>
  <c r="T11" i="9"/>
  <c r="T12" i="9"/>
  <c r="T13" i="9"/>
  <c r="T14" i="9"/>
  <c r="T15" i="9"/>
  <c r="T16" i="9"/>
  <c r="T17" i="9"/>
  <c r="P8" i="9"/>
  <c r="P9" i="9"/>
  <c r="P10" i="9"/>
  <c r="P11" i="9"/>
  <c r="P12" i="9"/>
  <c r="P13" i="9"/>
  <c r="P14" i="9"/>
  <c r="P15" i="9"/>
  <c r="P16" i="9"/>
  <c r="P17" i="9"/>
  <c r="L18" i="9"/>
  <c r="L9" i="9"/>
  <c r="L10" i="9"/>
  <c r="L11" i="9"/>
  <c r="L12" i="9"/>
  <c r="L13" i="9"/>
  <c r="L14" i="9"/>
  <c r="L15" i="9"/>
  <c r="L16" i="9"/>
  <c r="L17" i="9"/>
  <c r="J8" i="9"/>
  <c r="J9" i="9"/>
  <c r="J10" i="9"/>
  <c r="J11" i="9"/>
  <c r="J12" i="9"/>
  <c r="J13" i="9"/>
  <c r="J14" i="9"/>
  <c r="J15" i="9"/>
  <c r="J16" i="9"/>
  <c r="J17" i="9"/>
  <c r="F8" i="9"/>
  <c r="F9" i="9"/>
  <c r="F10" i="9"/>
  <c r="F11" i="9"/>
  <c r="F12" i="9"/>
  <c r="F13" i="9"/>
  <c r="F14" i="9"/>
  <c r="F15" i="9"/>
  <c r="F16" i="9"/>
  <c r="F17" i="9"/>
  <c r="N6" i="8"/>
  <c r="N7" i="8"/>
  <c r="N8" i="8"/>
  <c r="N9" i="8"/>
  <c r="N10" i="8"/>
  <c r="N11" i="8"/>
  <c r="N12" i="8"/>
  <c r="N13" i="8"/>
  <c r="N14" i="8"/>
  <c r="N15" i="8"/>
  <c r="N16" i="8"/>
  <c r="N5" i="8"/>
  <c r="L17" i="8"/>
  <c r="J17" i="8"/>
  <c r="L6" i="8"/>
  <c r="L7" i="8"/>
  <c r="L8" i="8"/>
  <c r="L9" i="8"/>
  <c r="L10" i="8"/>
  <c r="L11" i="8"/>
  <c r="L12" i="8"/>
  <c r="L13" i="8"/>
  <c r="L14" i="8"/>
  <c r="L15" i="8"/>
  <c r="L16" i="8"/>
  <c r="L5" i="8"/>
  <c r="J6" i="8"/>
  <c r="J7" i="8"/>
  <c r="J8" i="8"/>
  <c r="J9" i="8"/>
  <c r="J10" i="8"/>
  <c r="J11" i="8"/>
  <c r="J12" i="8"/>
  <c r="J13" i="8"/>
  <c r="J14" i="8"/>
  <c r="J15" i="8"/>
  <c r="J16" i="8"/>
  <c r="J5" i="8"/>
  <c r="H6" i="8"/>
  <c r="H7" i="8"/>
  <c r="H8" i="8"/>
  <c r="H9" i="8"/>
  <c r="H10" i="8"/>
  <c r="H11" i="8"/>
  <c r="H12" i="8"/>
  <c r="H13" i="8"/>
  <c r="H14" i="8"/>
  <c r="H15" i="8"/>
  <c r="H16" i="8"/>
  <c r="H5" i="8"/>
  <c r="F6" i="8"/>
  <c r="F7" i="8"/>
  <c r="F8" i="8"/>
  <c r="F9" i="8"/>
  <c r="F10" i="8"/>
  <c r="F11" i="8"/>
  <c r="F12" i="8"/>
  <c r="F13" i="8"/>
  <c r="F14" i="8"/>
  <c r="F15" i="8"/>
  <c r="F16" i="8"/>
  <c r="D6" i="8"/>
  <c r="D7" i="8"/>
  <c r="D8" i="8"/>
  <c r="D9" i="8"/>
  <c r="D10" i="8"/>
  <c r="D11" i="8"/>
  <c r="D12" i="8"/>
  <c r="D13" i="8"/>
  <c r="D14" i="8"/>
  <c r="D15" i="8"/>
  <c r="D16" i="8"/>
  <c r="F5" i="8"/>
  <c r="D5" i="8"/>
  <c r="F5" i="5"/>
  <c r="F6" i="5"/>
  <c r="F7" i="5"/>
  <c r="F9" i="5"/>
  <c r="F10" i="5"/>
  <c r="F11" i="5"/>
  <c r="F13" i="5"/>
  <c r="F14" i="5"/>
  <c r="F15" i="5"/>
  <c r="F4" i="5"/>
  <c r="L16" i="10"/>
  <c r="K5" i="10"/>
  <c r="V18" i="9" l="1"/>
  <c r="Y18" i="9"/>
  <c r="C30" i="4" s="1"/>
  <c r="K6" i="10" l="1"/>
  <c r="K7" i="10"/>
  <c r="K8" i="10"/>
  <c r="K9" i="10"/>
  <c r="K10" i="10"/>
  <c r="K11" i="10"/>
  <c r="K12" i="10"/>
  <c r="K13" i="10"/>
  <c r="K14" i="10"/>
  <c r="K15" i="10"/>
  <c r="K16" i="10"/>
  <c r="D29" i="4"/>
  <c r="D30" i="4"/>
  <c r="D31" i="4"/>
  <c r="D28" i="4"/>
  <c r="G5" i="8"/>
  <c r="M5" i="8"/>
  <c r="G6" i="8"/>
  <c r="M6" i="8"/>
  <c r="G7" i="8"/>
  <c r="M7" i="8"/>
  <c r="G8" i="8"/>
  <c r="M8" i="8"/>
  <c r="G9" i="8"/>
  <c r="M9" i="8"/>
  <c r="G10" i="8"/>
  <c r="M10" i="8"/>
  <c r="G11" i="8"/>
  <c r="M11" i="8"/>
  <c r="G12" i="8"/>
  <c r="M12" i="8"/>
  <c r="G13" i="8"/>
  <c r="M13" i="8"/>
  <c r="G14" i="8"/>
  <c r="M14" i="8"/>
  <c r="G15" i="8"/>
  <c r="M15" i="8"/>
  <c r="G16" i="8"/>
  <c r="M16" i="8"/>
  <c r="C17" i="8"/>
  <c r="E17" i="8"/>
  <c r="I17" i="8"/>
  <c r="K17" i="8"/>
  <c r="N17" i="8" l="1"/>
  <c r="O15" i="8"/>
  <c r="P15" i="8"/>
  <c r="C14" i="5" s="1"/>
  <c r="P13" i="8"/>
  <c r="C12" i="5" s="1"/>
  <c r="O11" i="8"/>
  <c r="P11" i="8"/>
  <c r="C10" i="5" s="1"/>
  <c r="P9" i="8"/>
  <c r="C8" i="5" s="1"/>
  <c r="O7" i="8"/>
  <c r="P7" i="8"/>
  <c r="C6" i="5" s="1"/>
  <c r="P5" i="8"/>
  <c r="O16" i="8"/>
  <c r="P16" i="8"/>
  <c r="C15" i="5" s="1"/>
  <c r="O14" i="8"/>
  <c r="P14" i="8"/>
  <c r="C13" i="5" s="1"/>
  <c r="O12" i="8"/>
  <c r="P12" i="8"/>
  <c r="C11" i="5" s="1"/>
  <c r="O10" i="8"/>
  <c r="P10" i="8"/>
  <c r="C9" i="5" s="1"/>
  <c r="O8" i="8"/>
  <c r="P8" i="8"/>
  <c r="C7" i="5" s="1"/>
  <c r="O6" i="8"/>
  <c r="P6" i="8"/>
  <c r="C5" i="5" s="1"/>
  <c r="O13" i="8"/>
  <c r="O9" i="8"/>
  <c r="M17" i="8"/>
  <c r="O5" i="8"/>
  <c r="F16" i="5"/>
  <c r="G17" i="8"/>
  <c r="C4" i="5" l="1"/>
  <c r="P17" i="8"/>
  <c r="H17" i="8"/>
  <c r="K17" i="10"/>
  <c r="E31" i="4" s="1"/>
  <c r="D17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5" i="10"/>
  <c r="F7" i="6" l="1"/>
  <c r="Q17" i="9" l="1"/>
  <c r="S17" i="9" s="1"/>
  <c r="M17" i="9"/>
  <c r="O17" i="9" s="1"/>
  <c r="G17" i="9"/>
  <c r="I17" i="9" s="1"/>
  <c r="C17" i="9"/>
  <c r="E17" i="9" s="1"/>
  <c r="Q16" i="9"/>
  <c r="S16" i="9" s="1"/>
  <c r="M16" i="9"/>
  <c r="O16" i="9" s="1"/>
  <c r="G16" i="9"/>
  <c r="I16" i="9" s="1"/>
  <c r="C16" i="9"/>
  <c r="E16" i="9" s="1"/>
  <c r="Q15" i="9"/>
  <c r="S15" i="9" s="1"/>
  <c r="M15" i="9"/>
  <c r="O15" i="9" s="1"/>
  <c r="G15" i="9"/>
  <c r="I15" i="9" s="1"/>
  <c r="C15" i="9"/>
  <c r="E15" i="9" s="1"/>
  <c r="Q14" i="9"/>
  <c r="M14" i="9"/>
  <c r="O14" i="9" s="1"/>
  <c r="G14" i="9"/>
  <c r="I14" i="9" s="1"/>
  <c r="C14" i="9"/>
  <c r="E14" i="9" s="1"/>
  <c r="Q13" i="9"/>
  <c r="S13" i="9" s="1"/>
  <c r="M13" i="9"/>
  <c r="O13" i="9" s="1"/>
  <c r="G13" i="9"/>
  <c r="I13" i="9" s="1"/>
  <c r="C13" i="9"/>
  <c r="E13" i="9" s="1"/>
  <c r="Q12" i="9"/>
  <c r="S12" i="9" s="1"/>
  <c r="M12" i="9"/>
  <c r="O12" i="9" s="1"/>
  <c r="G12" i="9"/>
  <c r="I12" i="9" s="1"/>
  <c r="C12" i="9"/>
  <c r="E12" i="9" s="1"/>
  <c r="Q11" i="9"/>
  <c r="S11" i="9" s="1"/>
  <c r="M11" i="9"/>
  <c r="O11" i="9" s="1"/>
  <c r="G11" i="9"/>
  <c r="I11" i="9" s="1"/>
  <c r="C11" i="9"/>
  <c r="E11" i="9" s="1"/>
  <c r="Q10" i="9"/>
  <c r="S10" i="9" s="1"/>
  <c r="M10" i="9"/>
  <c r="O10" i="9" s="1"/>
  <c r="G10" i="9"/>
  <c r="I10" i="9" s="1"/>
  <c r="C10" i="9"/>
  <c r="E10" i="9" s="1"/>
  <c r="Q9" i="9"/>
  <c r="S9" i="9" s="1"/>
  <c r="M9" i="9"/>
  <c r="O9" i="9" s="1"/>
  <c r="U9" i="9" s="1"/>
  <c r="G9" i="9"/>
  <c r="I9" i="9" s="1"/>
  <c r="C9" i="9"/>
  <c r="E9" i="9" s="1"/>
  <c r="Q8" i="9"/>
  <c r="M8" i="9"/>
  <c r="O8" i="9" s="1"/>
  <c r="G8" i="9"/>
  <c r="I8" i="9" s="1"/>
  <c r="C8" i="9"/>
  <c r="E8" i="9" s="1"/>
  <c r="Q7" i="9"/>
  <c r="M7" i="9"/>
  <c r="O7" i="9" s="1"/>
  <c r="G7" i="9"/>
  <c r="I7" i="9" s="1"/>
  <c r="C7" i="9"/>
  <c r="E7" i="9" s="1"/>
  <c r="S7" i="9"/>
  <c r="S8" i="9"/>
  <c r="S14" i="9"/>
  <c r="S6" i="9"/>
  <c r="O6" i="9"/>
  <c r="I6" i="9"/>
  <c r="E6" i="9"/>
  <c r="AA17" i="2"/>
  <c r="AC17" i="2" s="1"/>
  <c r="X17" i="2"/>
  <c r="T17" i="2"/>
  <c r="V17" i="2" s="1"/>
  <c r="Q17" i="2"/>
  <c r="S17" i="2" s="1"/>
  <c r="M17" i="2"/>
  <c r="O17" i="2" s="1"/>
  <c r="J17" i="2"/>
  <c r="L17" i="2" s="1"/>
  <c r="F17" i="2"/>
  <c r="H17" i="2" s="1"/>
  <c r="C17" i="2"/>
  <c r="E17" i="2" s="1"/>
  <c r="AA16" i="2"/>
  <c r="AC16" i="2" s="1"/>
  <c r="X16" i="2"/>
  <c r="Z16" i="2" s="1"/>
  <c r="T16" i="2"/>
  <c r="V16" i="2" s="1"/>
  <c r="Q16" i="2"/>
  <c r="S16" i="2" s="1"/>
  <c r="M16" i="2"/>
  <c r="O16" i="2" s="1"/>
  <c r="J16" i="2"/>
  <c r="L16" i="2" s="1"/>
  <c r="F16" i="2"/>
  <c r="H16" i="2" s="1"/>
  <c r="C16" i="2"/>
  <c r="E16" i="2" s="1"/>
  <c r="AA15" i="2"/>
  <c r="AC15" i="2" s="1"/>
  <c r="X15" i="2"/>
  <c r="Z15" i="2" s="1"/>
  <c r="T15" i="2"/>
  <c r="V15" i="2" s="1"/>
  <c r="Q15" i="2"/>
  <c r="S15" i="2" s="1"/>
  <c r="M15" i="2"/>
  <c r="O15" i="2" s="1"/>
  <c r="J15" i="2"/>
  <c r="L15" i="2" s="1"/>
  <c r="F15" i="2"/>
  <c r="H15" i="2" s="1"/>
  <c r="C15" i="2"/>
  <c r="E15" i="2" s="1"/>
  <c r="AA14" i="2"/>
  <c r="AC14" i="2" s="1"/>
  <c r="X14" i="2"/>
  <c r="Z14" i="2" s="1"/>
  <c r="T14" i="2"/>
  <c r="V14" i="2" s="1"/>
  <c r="Q14" i="2"/>
  <c r="S14" i="2" s="1"/>
  <c r="M14" i="2"/>
  <c r="O14" i="2" s="1"/>
  <c r="J14" i="2"/>
  <c r="L14" i="2" s="1"/>
  <c r="F14" i="2"/>
  <c r="C14" i="2"/>
  <c r="E14" i="2" s="1"/>
  <c r="AA13" i="2"/>
  <c r="AC13" i="2" s="1"/>
  <c r="X13" i="2"/>
  <c r="Z13" i="2" s="1"/>
  <c r="T13" i="2"/>
  <c r="V13" i="2" s="1"/>
  <c r="Q13" i="2"/>
  <c r="S13" i="2" s="1"/>
  <c r="M13" i="2"/>
  <c r="O13" i="2" s="1"/>
  <c r="J13" i="2"/>
  <c r="L13" i="2" s="1"/>
  <c r="F13" i="2"/>
  <c r="H13" i="2" s="1"/>
  <c r="C13" i="2"/>
  <c r="E13" i="2" s="1"/>
  <c r="AA12" i="2"/>
  <c r="AC12" i="2" s="1"/>
  <c r="X12" i="2"/>
  <c r="Z12" i="2" s="1"/>
  <c r="T12" i="2"/>
  <c r="V12" i="2" s="1"/>
  <c r="Q12" i="2"/>
  <c r="S12" i="2" s="1"/>
  <c r="M12" i="2"/>
  <c r="O12" i="2" s="1"/>
  <c r="J12" i="2"/>
  <c r="L12" i="2" s="1"/>
  <c r="F12" i="2"/>
  <c r="H12" i="2" s="1"/>
  <c r="C12" i="2"/>
  <c r="E12" i="2" s="1"/>
  <c r="AA11" i="2"/>
  <c r="AC11" i="2" s="1"/>
  <c r="X11" i="2"/>
  <c r="Z11" i="2" s="1"/>
  <c r="T11" i="2"/>
  <c r="V11" i="2" s="1"/>
  <c r="Q11" i="2"/>
  <c r="S11" i="2" s="1"/>
  <c r="M11" i="2"/>
  <c r="O11" i="2" s="1"/>
  <c r="J11" i="2"/>
  <c r="L11" i="2" s="1"/>
  <c r="F11" i="2"/>
  <c r="H11" i="2" s="1"/>
  <c r="AA10" i="2"/>
  <c r="AC10" i="2" s="1"/>
  <c r="X10" i="2"/>
  <c r="Z10" i="2" s="1"/>
  <c r="T10" i="2"/>
  <c r="V10" i="2" s="1"/>
  <c r="Q10" i="2"/>
  <c r="S10" i="2" s="1"/>
  <c r="M10" i="2"/>
  <c r="O10" i="2" s="1"/>
  <c r="J10" i="2"/>
  <c r="L10" i="2" s="1"/>
  <c r="F10" i="2"/>
  <c r="H10" i="2" s="1"/>
  <c r="C11" i="2"/>
  <c r="E11" i="2" s="1"/>
  <c r="C10" i="2"/>
  <c r="E10" i="2" s="1"/>
  <c r="AA9" i="2"/>
  <c r="AC9" i="2" s="1"/>
  <c r="X9" i="2"/>
  <c r="Z9" i="2" s="1"/>
  <c r="T9" i="2"/>
  <c r="V9" i="2" s="1"/>
  <c r="Q9" i="2"/>
  <c r="S9" i="2" s="1"/>
  <c r="O6" i="2"/>
  <c r="L6" i="2"/>
  <c r="J9" i="2"/>
  <c r="L9" i="2" s="1"/>
  <c r="M9" i="2"/>
  <c r="O9" i="2" s="1"/>
  <c r="F9" i="2"/>
  <c r="H9" i="2" s="1"/>
  <c r="C9" i="2"/>
  <c r="E9" i="2" s="1"/>
  <c r="AA8" i="2"/>
  <c r="AC8" i="2" s="1"/>
  <c r="X8" i="2"/>
  <c r="Z8" i="2" s="1"/>
  <c r="T8" i="2"/>
  <c r="V8" i="2" s="1"/>
  <c r="Q8" i="2"/>
  <c r="S8" i="2" s="1"/>
  <c r="J8" i="2"/>
  <c r="L8" i="2" s="1"/>
  <c r="M8" i="2"/>
  <c r="O8" i="2" s="1"/>
  <c r="F8" i="2"/>
  <c r="H8" i="2" s="1"/>
  <c r="AA7" i="2"/>
  <c r="AC7" i="2" s="1"/>
  <c r="X7" i="2"/>
  <c r="Z7" i="2" s="1"/>
  <c r="T7" i="2"/>
  <c r="V7" i="2" s="1"/>
  <c r="Q7" i="2"/>
  <c r="S7" i="2" s="1"/>
  <c r="J7" i="2"/>
  <c r="L7" i="2" s="1"/>
  <c r="M7" i="2"/>
  <c r="O7" i="2" s="1"/>
  <c r="C8" i="2"/>
  <c r="E8" i="2" s="1"/>
  <c r="AC6" i="2"/>
  <c r="Z17" i="2"/>
  <c r="Z6" i="2"/>
  <c r="V6" i="2"/>
  <c r="S6" i="2"/>
  <c r="H7" i="2"/>
  <c r="H14" i="2"/>
  <c r="E7" i="2"/>
  <c r="H6" i="2"/>
  <c r="E6" i="2"/>
  <c r="I7" i="2" l="1"/>
  <c r="I10" i="2"/>
  <c r="I12" i="2"/>
  <c r="I17" i="2"/>
  <c r="I11" i="2"/>
  <c r="I8" i="2"/>
  <c r="I13" i="2"/>
  <c r="I14" i="2"/>
  <c r="I15" i="2"/>
  <c r="I16" i="2"/>
  <c r="I6" i="2"/>
  <c r="I9" i="2"/>
  <c r="U6" i="9"/>
  <c r="K9" i="9"/>
  <c r="K6" i="9"/>
  <c r="W6" i="9" s="1"/>
  <c r="U10" i="9"/>
  <c r="U14" i="9"/>
  <c r="U13" i="9"/>
  <c r="W17" i="2"/>
  <c r="U17" i="9"/>
  <c r="K17" i="9"/>
  <c r="U16" i="9"/>
  <c r="K16" i="9"/>
  <c r="U15" i="9"/>
  <c r="K15" i="9"/>
  <c r="K14" i="9"/>
  <c r="K13" i="9"/>
  <c r="U12" i="9"/>
  <c r="K12" i="9"/>
  <c r="U11" i="9"/>
  <c r="K11" i="9"/>
  <c r="K10" i="9"/>
  <c r="U8" i="9"/>
  <c r="U7" i="9"/>
  <c r="K7" i="9"/>
  <c r="K8" i="9"/>
  <c r="AD17" i="2"/>
  <c r="AD16" i="2"/>
  <c r="W16" i="2"/>
  <c r="AD14" i="2"/>
  <c r="AD13" i="2"/>
  <c r="AD12" i="2"/>
  <c r="AD11" i="2"/>
  <c r="AD9" i="2"/>
  <c r="P13" i="2"/>
  <c r="P17" i="2"/>
  <c r="P10" i="2"/>
  <c r="P12" i="2"/>
  <c r="P16" i="2"/>
  <c r="P11" i="2"/>
  <c r="AD8" i="2"/>
  <c r="P8" i="2"/>
  <c r="P7" i="2"/>
  <c r="W11" i="2"/>
  <c r="W15" i="2"/>
  <c r="W8" i="2"/>
  <c r="W10" i="2"/>
  <c r="W12" i="2"/>
  <c r="W14" i="2"/>
  <c r="P15" i="2"/>
  <c r="P14" i="2"/>
  <c r="W7" i="2"/>
  <c r="W9" i="2"/>
  <c r="P9" i="2"/>
  <c r="W13" i="2"/>
  <c r="AD7" i="2"/>
  <c r="AD10" i="2"/>
  <c r="AD15" i="2"/>
  <c r="AD6" i="2"/>
  <c r="W6" i="2"/>
  <c r="P6" i="2"/>
  <c r="G22" i="4"/>
  <c r="F22" i="4"/>
  <c r="AE6" i="2" l="1"/>
  <c r="W8" i="9"/>
  <c r="X8" i="9" s="1"/>
  <c r="W10" i="9"/>
  <c r="X10" i="9" s="1"/>
  <c r="U18" i="9"/>
  <c r="K18" i="9"/>
  <c r="W11" i="9"/>
  <c r="X11" i="9" s="1"/>
  <c r="W13" i="9"/>
  <c r="X13" i="9" s="1"/>
  <c r="X6" i="9"/>
  <c r="W9" i="9"/>
  <c r="X9" i="9" s="1"/>
  <c r="W14" i="9"/>
  <c r="X14" i="9" s="1"/>
  <c r="AE16" i="2"/>
  <c r="AF16" i="2" s="1"/>
  <c r="W17" i="9"/>
  <c r="X17" i="9" s="1"/>
  <c r="W16" i="9"/>
  <c r="X16" i="9" s="1"/>
  <c r="W15" i="9"/>
  <c r="X15" i="9" s="1"/>
  <c r="W12" i="9"/>
  <c r="X12" i="9" s="1"/>
  <c r="W7" i="9"/>
  <c r="X7" i="9" s="1"/>
  <c r="AE17" i="2"/>
  <c r="AE15" i="2"/>
  <c r="AE14" i="2"/>
  <c r="AF14" i="2" s="1"/>
  <c r="AE13" i="2"/>
  <c r="AF13" i="2" s="1"/>
  <c r="AE12" i="2"/>
  <c r="AF12" i="2" s="1"/>
  <c r="AE10" i="2"/>
  <c r="AE11" i="2"/>
  <c r="AF11" i="2" s="1"/>
  <c r="W18" i="2"/>
  <c r="AF6" i="2"/>
  <c r="P18" i="2"/>
  <c r="AD18" i="2"/>
  <c r="AE9" i="2"/>
  <c r="AF9" i="2" s="1"/>
  <c r="AE8" i="2"/>
  <c r="AE7" i="2"/>
  <c r="AF7" i="2" s="1"/>
  <c r="I18" i="2"/>
  <c r="G11" i="5" l="1"/>
  <c r="C17" i="4" s="1"/>
  <c r="E17" i="4" s="1"/>
  <c r="H17" i="4" s="1"/>
  <c r="G9" i="5"/>
  <c r="C15" i="4" s="1"/>
  <c r="E15" i="4" s="1"/>
  <c r="H15" i="4" s="1"/>
  <c r="G12" i="5"/>
  <c r="C18" i="4" s="1"/>
  <c r="E18" i="4" s="1"/>
  <c r="H18" i="4" s="1"/>
  <c r="C20" i="4"/>
  <c r="E20" i="4" s="1"/>
  <c r="G5" i="5"/>
  <c r="C11" i="4" s="1"/>
  <c r="E11" i="4" s="1"/>
  <c r="H11" i="4" s="1"/>
  <c r="G10" i="5"/>
  <c r="C16" i="4" s="1"/>
  <c r="E16" i="4" s="1"/>
  <c r="H16" i="4" s="1"/>
  <c r="E16" i="5"/>
  <c r="C13" i="4"/>
  <c r="E13" i="4" s="1"/>
  <c r="H13" i="4" s="1"/>
  <c r="AF17" i="2"/>
  <c r="G15" i="5" s="1"/>
  <c r="C21" i="4" s="1"/>
  <c r="E21" i="4" s="1"/>
  <c r="H21" i="4" s="1"/>
  <c r="AF10" i="2"/>
  <c r="G8" i="5" s="1"/>
  <c r="C14" i="4" s="1"/>
  <c r="E14" i="4" s="1"/>
  <c r="H14" i="4" s="1"/>
  <c r="AF15" i="2"/>
  <c r="G13" i="5" s="1"/>
  <c r="C19" i="4" s="1"/>
  <c r="E19" i="4" s="1"/>
  <c r="H19" i="4" s="1"/>
  <c r="AF8" i="2"/>
  <c r="G6" i="5" s="1"/>
  <c r="C12" i="4" s="1"/>
  <c r="E12" i="4" s="1"/>
  <c r="H12" i="4" s="1"/>
  <c r="W18" i="9"/>
  <c r="X18" i="9"/>
  <c r="AE18" i="2"/>
  <c r="H31" i="4"/>
  <c r="AF18" i="2" l="1"/>
  <c r="E30" i="4"/>
  <c r="E7" i="6" s="1"/>
  <c r="D16" i="5"/>
  <c r="E29" i="4"/>
  <c r="H20" i="4"/>
  <c r="O17" i="8"/>
  <c r="C16" i="5"/>
  <c r="H29" i="4" l="1"/>
  <c r="D7" i="6"/>
  <c r="E28" i="4"/>
  <c r="G4" i="5"/>
  <c r="C7" i="6" l="1"/>
  <c r="H28" i="4"/>
  <c r="H32" i="4" s="1"/>
  <c r="L10" i="4" s="1"/>
  <c r="C10" i="4"/>
  <c r="C11" i="6" l="1"/>
  <c r="C22" i="4"/>
  <c r="K9" i="4" s="1"/>
  <c r="E10" i="4"/>
  <c r="E22" i="4" s="1"/>
  <c r="H10" i="4" l="1"/>
  <c r="L9" i="4" l="1"/>
  <c r="H22" i="4"/>
</calcChain>
</file>

<file path=xl/sharedStrings.xml><?xml version="1.0" encoding="utf-8"?>
<sst xmlns="http://schemas.openxmlformats.org/spreadsheetml/2006/main" count="154" uniqueCount="72">
  <si>
    <t>Month</t>
  </si>
  <si>
    <t>Total</t>
  </si>
  <si>
    <t>Project 1</t>
  </si>
  <si>
    <t>Project 2</t>
  </si>
  <si>
    <t>Project 3</t>
  </si>
  <si>
    <t>Net Generation (MWh)</t>
  </si>
  <si>
    <t>Emission Factor (tCO2/MWh)</t>
  </si>
  <si>
    <t>Baseline emissions (tCO2 e)</t>
  </si>
  <si>
    <t xml:space="preserve">Project emissions (tCO2 e) </t>
  </si>
  <si>
    <t>Leakage (tCO2 e)</t>
  </si>
  <si>
    <t>Emission Reduction (tCO2 e)</t>
  </si>
  <si>
    <t>Vintage</t>
  </si>
  <si>
    <t xml:space="preserve">Total </t>
  </si>
  <si>
    <t>Project 4</t>
  </si>
  <si>
    <t xml:space="preserve">End date of Monitoring period </t>
  </si>
  <si>
    <t>Start date of monitoring period</t>
  </si>
  <si>
    <t>Project wise</t>
  </si>
  <si>
    <t>Emission Reductions*</t>
  </si>
  <si>
    <t>* rounded down values</t>
  </si>
  <si>
    <t>Starting Reading</t>
  </si>
  <si>
    <t xml:space="preserve">End Reading </t>
  </si>
  <si>
    <t>Import</t>
  </si>
  <si>
    <t xml:space="preserve">Generation </t>
  </si>
  <si>
    <t>SI.No.</t>
  </si>
  <si>
    <t>Export</t>
  </si>
  <si>
    <t>Block- P4, Jakson (65MWp)</t>
  </si>
  <si>
    <t>Block- P5, Vikram (65MWp)</t>
  </si>
  <si>
    <t>Block- P6, Vikram (65MWp)</t>
  </si>
  <si>
    <t>Block- P7, Tata (65MWp)</t>
  </si>
  <si>
    <t>Export (kWh)</t>
  </si>
  <si>
    <t>Import (kWh)</t>
  </si>
  <si>
    <t>Net Export (kWh)</t>
  </si>
  <si>
    <t>Net Generation (kWh)</t>
  </si>
  <si>
    <t>Net Gneration (MWh)</t>
  </si>
  <si>
    <t>Months</t>
  </si>
  <si>
    <t>Sub-Station meter - 1</t>
  </si>
  <si>
    <t>Sub-Station meter - 2</t>
  </si>
  <si>
    <t>Net Gneration (kWh)</t>
  </si>
  <si>
    <t>Project 3 - 250MW_MP(MWh)</t>
  </si>
  <si>
    <t>Project 1- 50MW_AP(MWh)</t>
  </si>
  <si>
    <t>Project 2 - 260MW_RJ(MWh)</t>
  </si>
  <si>
    <t>Project 4 - 50MW_GJ(MWh)</t>
  </si>
  <si>
    <t>Project Title: Solar and Wind Power Project by NTPC Limited</t>
  </si>
  <si>
    <t>Net Export (MWh)</t>
  </si>
  <si>
    <t>260 MW Solar power project by NTPC Limited at Bhadla, Rajasthan - Project 2</t>
  </si>
  <si>
    <t>250 MW Solar power project by NTPC Limited at Mandsaur, Madhya Pradesh - Project 3</t>
  </si>
  <si>
    <t>Net Energy  
(kWh) - JMR</t>
  </si>
  <si>
    <t>Monitoring month</t>
  </si>
  <si>
    <t>1 B</t>
  </si>
  <si>
    <t>Total (MWh)</t>
  </si>
  <si>
    <t>50 MW Solar power project by NTPC Limited  at Anantapur, Andhra Pradesh - Project 1</t>
  </si>
  <si>
    <t>50 MW Wind project ny NTPC Limited at Rojmal, Gujarat - Project 4</t>
  </si>
  <si>
    <t>Total energy export after Calibration (MWh)</t>
  </si>
  <si>
    <t>Net energy export adjusted (kWh)</t>
  </si>
  <si>
    <t>Export energy after adjust (kWh)</t>
  </si>
  <si>
    <t>Adjusted Export (kWh)</t>
  </si>
  <si>
    <t>Adjusted import (kWh)</t>
  </si>
  <si>
    <t>Export energy export (kWh)</t>
  </si>
  <si>
    <t>Import energy export (kWh)</t>
  </si>
  <si>
    <t>Import energy export after adjust(kWh)</t>
  </si>
  <si>
    <t>Net energy export (MWh)</t>
  </si>
  <si>
    <t>Net energy export adjusted (MWh)</t>
  </si>
  <si>
    <t>TotalNet energy export (MWh)</t>
  </si>
  <si>
    <t>1A</t>
  </si>
  <si>
    <t>Net Gneration adjusted
(MWh)</t>
  </si>
  <si>
    <t>Version: 04</t>
  </si>
  <si>
    <t>Date: 17/05/2024</t>
  </si>
  <si>
    <t>Actual emission reductions</t>
  </si>
  <si>
    <t>Estimated emission reductions for the current monitoring period</t>
  </si>
  <si>
    <t>Actual Emission Reductions (tCO2e)</t>
  </si>
  <si>
    <t xml:space="preserve">Difference in Emission reductions </t>
  </si>
  <si>
    <t>Comparison of Estimated ER and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</si>
</sst>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\-* #,##0.00_-;_-* &quot;-&quot;??_-;_-@_-"/>
    <numFmt numFmtId="166" formatCode="_ * #,##0.0_ ;_ * \-#,##0.0_ ;_ * &quot;-&quot;??_ ;_ @_ "/>
    <numFmt numFmtId="167" formatCode="_(* #,##0_);_(* \(#,##0\);_(* &quot;-&quot;??_);_(@_)"/>
    <numFmt numFmtId="168" formatCode="_ * #,##0_ ;_ * \-#,##0_ ;_ * &quot;-&quot;??_ ;_ @_ "/>
    <numFmt numFmtId="169" formatCode="_ * #,##0.0000_ ;_ * \-#,##0.0000_ ;_ * &quot;-&quot;??_ ;_ @_ "/>
    <numFmt numFmtId="170" formatCode="_-* #,##0.0_-;\-* #,##0.0_-;_-* &quot;-&quot;?_-;_-@_-"/>
    <numFmt numFmtId="171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4" fillId="0" borderId="0" xfId="2" applyFont="1"/>
    <xf numFmtId="167" fontId="4" fillId="0" borderId="2" xfId="2" applyNumberFormat="1" applyFont="1" applyBorder="1"/>
    <xf numFmtId="1" fontId="0" fillId="0" borderId="2" xfId="0" applyNumberFormat="1" applyBorder="1"/>
    <xf numFmtId="0" fontId="5" fillId="0" borderId="0" xfId="0" applyFont="1"/>
    <xf numFmtId="0" fontId="2" fillId="0" borderId="2" xfId="5" applyFont="1" applyBorder="1"/>
    <xf numFmtId="0" fontId="5" fillId="0" borderId="2" xfId="0" applyFont="1" applyBorder="1"/>
    <xf numFmtId="0" fontId="1" fillId="0" borderId="2" xfId="5" applyBorder="1"/>
    <xf numFmtId="15" fontId="1" fillId="0" borderId="2" xfId="5" applyNumberFormat="1" applyBorder="1"/>
    <xf numFmtId="3" fontId="1" fillId="0" borderId="2" xfId="5" applyNumberFormat="1" applyBorder="1"/>
    <xf numFmtId="0" fontId="0" fillId="0" borderId="2" xfId="5" applyFont="1" applyBorder="1"/>
    <xf numFmtId="168" fontId="4" fillId="0" borderId="0" xfId="2" applyNumberFormat="1" applyFont="1"/>
    <xf numFmtId="168" fontId="0" fillId="0" borderId="0" xfId="0" applyNumberFormat="1"/>
    <xf numFmtId="165" fontId="4" fillId="0" borderId="0" xfId="2" applyNumberFormat="1" applyFont="1"/>
    <xf numFmtId="167" fontId="4" fillId="0" borderId="0" xfId="2" applyNumberFormat="1" applyFont="1"/>
    <xf numFmtId="170" fontId="0" fillId="0" borderId="0" xfId="0" applyNumberFormat="1"/>
    <xf numFmtId="3" fontId="0" fillId="0" borderId="0" xfId="0" applyNumberFormat="1"/>
    <xf numFmtId="15" fontId="0" fillId="0" borderId="0" xfId="0" applyNumberFormat="1"/>
    <xf numFmtId="171" fontId="4" fillId="0" borderId="0" xfId="2" applyNumberFormat="1" applyFont="1"/>
    <xf numFmtId="0" fontId="7" fillId="4" borderId="2" xfId="2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/>
    </xf>
    <xf numFmtId="3" fontId="0" fillId="0" borderId="2" xfId="0" applyNumberFormat="1" applyBorder="1"/>
    <xf numFmtId="0" fontId="0" fillId="0" borderId="2" xfId="0" applyBorder="1"/>
    <xf numFmtId="17" fontId="0" fillId="0" borderId="2" xfId="0" applyNumberFormat="1" applyBorder="1"/>
    <xf numFmtId="0" fontId="2" fillId="0" borderId="2" xfId="0" applyFont="1" applyBorder="1"/>
    <xf numFmtId="170" fontId="2" fillId="0" borderId="2" xfId="0" applyNumberFormat="1" applyFont="1" applyBorder="1"/>
    <xf numFmtId="169" fontId="3" fillId="0" borderId="2" xfId="3" applyNumberFormat="1" applyFont="1" applyFill="1" applyBorder="1"/>
    <xf numFmtId="168" fontId="3" fillId="0" borderId="2" xfId="3" applyNumberFormat="1" applyFont="1" applyFill="1" applyBorder="1"/>
    <xf numFmtId="166" fontId="3" fillId="0" borderId="2" xfId="3" applyNumberFormat="1" applyFont="1" applyFill="1" applyBorder="1"/>
    <xf numFmtId="166" fontId="5" fillId="0" borderId="2" xfId="3" applyNumberFormat="1" applyFont="1" applyFill="1" applyBorder="1" applyAlignment="1">
      <alignment horizontal="right"/>
    </xf>
    <xf numFmtId="166" fontId="5" fillId="0" borderId="2" xfId="3" applyNumberFormat="1" applyFont="1" applyFill="1" applyBorder="1"/>
    <xf numFmtId="168" fontId="5" fillId="0" borderId="2" xfId="3" applyNumberFormat="1" applyFont="1" applyFill="1" applyBorder="1"/>
    <xf numFmtId="0" fontId="4" fillId="0" borderId="2" xfId="2" applyFont="1" applyBorder="1"/>
    <xf numFmtId="1" fontId="4" fillId="0" borderId="2" xfId="2" applyNumberFormat="1" applyFont="1" applyBorder="1"/>
    <xf numFmtId="0" fontId="6" fillId="0" borderId="2" xfId="3" applyNumberFormat="1" applyFont="1" applyFill="1" applyBorder="1" applyAlignment="1">
      <alignment wrapText="1"/>
    </xf>
    <xf numFmtId="168" fontId="4" fillId="0" borderId="2" xfId="2" applyNumberFormat="1" applyFont="1" applyBorder="1"/>
    <xf numFmtId="0" fontId="6" fillId="0" borderId="2" xfId="3" applyNumberFormat="1" applyFont="1" applyFill="1" applyBorder="1" applyAlignment="1">
      <alignment horizontal="right" wrapText="1"/>
    </xf>
    <xf numFmtId="171" fontId="6" fillId="0" borderId="2" xfId="2" applyNumberFormat="1" applyFont="1" applyBorder="1"/>
    <xf numFmtId="0" fontId="7" fillId="4" borderId="10" xfId="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8" xfId="0" applyBorder="1"/>
    <xf numFmtId="0" fontId="8" fillId="6" borderId="2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1" fontId="3" fillId="0" borderId="2" xfId="4" applyNumberFormat="1" applyFont="1" applyFill="1" applyBorder="1"/>
    <xf numFmtId="1" fontId="5" fillId="0" borderId="2" xfId="3" applyNumberFormat="1" applyFont="1" applyFill="1" applyBorder="1"/>
    <xf numFmtId="171" fontId="3" fillId="0" borderId="2" xfId="3" applyNumberFormat="1" applyFont="1" applyFill="1" applyBorder="1"/>
    <xf numFmtId="171" fontId="5" fillId="0" borderId="2" xfId="3" applyNumberFormat="1" applyFont="1" applyFill="1" applyBorder="1"/>
    <xf numFmtId="2" fontId="2" fillId="0" borderId="0" xfId="0" applyNumberFormat="1" applyFont="1" applyAlignment="1">
      <alignment horizontal="center" vertical="center"/>
    </xf>
    <xf numFmtId="0" fontId="6" fillId="0" borderId="2" xfId="2" applyFont="1" applyBorder="1"/>
    <xf numFmtId="167" fontId="6" fillId="0" borderId="2" xfId="2" applyNumberFormat="1" applyFont="1" applyBorder="1"/>
    <xf numFmtId="1" fontId="2" fillId="0" borderId="2" xfId="0" applyNumberFormat="1" applyFont="1" applyBorder="1"/>
    <xf numFmtId="0" fontId="8" fillId="6" borderId="8" xfId="0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66" fontId="6" fillId="4" borderId="2" xfId="3" applyNumberFormat="1" applyFont="1" applyFill="1" applyBorder="1" applyAlignment="1">
      <alignment horizontal="center" wrapText="1"/>
    </xf>
    <xf numFmtId="0" fontId="6" fillId="4" borderId="2" xfId="2" applyFont="1" applyFill="1" applyBorder="1" applyAlignment="1">
      <alignment horizontal="center" vertical="center" wrapText="1"/>
    </xf>
    <xf numFmtId="166" fontId="6" fillId="4" borderId="3" xfId="3" applyNumberFormat="1" applyFont="1" applyFill="1" applyBorder="1" applyAlignment="1">
      <alignment horizontal="center" wrapText="1"/>
    </xf>
    <xf numFmtId="166" fontId="6" fillId="4" borderId="4" xfId="3" applyNumberFormat="1" applyFont="1" applyFill="1" applyBorder="1" applyAlignment="1">
      <alignment horizontal="center" wrapText="1"/>
    </xf>
    <xf numFmtId="0" fontId="5" fillId="3" borderId="8" xfId="1" applyFont="1" applyFill="1" applyBorder="1" applyAlignment="1">
      <alignment horizontal="center" vertical="top"/>
    </xf>
    <xf numFmtId="0" fontId="5" fillId="3" borderId="10" xfId="1" applyFont="1" applyFill="1" applyBorder="1" applyAlignment="1">
      <alignment horizontal="center" vertical="top"/>
    </xf>
    <xf numFmtId="0" fontId="5" fillId="3" borderId="9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18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 wrapText="1"/>
    </xf>
    <xf numFmtId="166" fontId="7" fillId="4" borderId="2" xfId="3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6" fontId="7" fillId="4" borderId="8" xfId="3" applyNumberFormat="1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2" fillId="4" borderId="12" xfId="2" applyFont="1" applyFill="1" applyBorder="1" applyAlignment="1">
      <alignment horizontal="center" vertical="center" wrapText="1"/>
    </xf>
    <xf numFmtId="0" fontId="2" fillId="4" borderId="13" xfId="2" applyFont="1" applyFill="1" applyBorder="1" applyAlignment="1">
      <alignment horizontal="center" vertical="center" wrapText="1"/>
    </xf>
    <xf numFmtId="0" fontId="2" fillId="4" borderId="14" xfId="2" applyFont="1" applyFill="1" applyBorder="1" applyAlignment="1">
      <alignment horizontal="center" vertical="center" wrapText="1"/>
    </xf>
    <xf numFmtId="0" fontId="2" fillId="4" borderId="11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center" vertical="center"/>
    </xf>
    <xf numFmtId="0" fontId="2" fillId="4" borderId="13" xfId="2" applyFont="1" applyFill="1" applyBorder="1" applyAlignment="1">
      <alignment horizontal="center" vertical="center"/>
    </xf>
    <xf numFmtId="0" fontId="2" fillId="4" borderId="14" xfId="2" applyFont="1" applyFill="1" applyBorder="1" applyAlignment="1">
      <alignment horizontal="center" vertical="center"/>
    </xf>
    <xf numFmtId="0" fontId="2" fillId="4" borderId="5" xfId="2" applyFont="1" applyFill="1" applyBorder="1" applyAlignment="1">
      <alignment horizontal="center" vertical="center"/>
    </xf>
    <xf numFmtId="0" fontId="2" fillId="4" borderId="6" xfId="2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0" fontId="0" fillId="0" borderId="2" xfId="7" applyNumberFormat="1" applyFont="1" applyBorder="1"/>
  </cellXfs>
  <cellStyles count="8">
    <cellStyle name="Comma 7" xfId="3" xr:uid="{00000000-0005-0000-0000-000001000000}"/>
    <cellStyle name="Normal" xfId="0" builtinId="0"/>
    <cellStyle name="Normal 16 2" xfId="5" xr:uid="{00000000-0005-0000-0000-000003000000}"/>
    <cellStyle name="Normal 17" xfId="1" xr:uid="{00000000-0005-0000-0000-000004000000}"/>
    <cellStyle name="Normal 18" xfId="2" xr:uid="{00000000-0005-0000-0000-000005000000}"/>
    <cellStyle name="Note 7" xfId="4" xr:uid="{00000000-0005-0000-0000-000006000000}"/>
    <cellStyle name="Percent" xfId="7" builtinId="5"/>
    <cellStyle name="Percent 8" xfId="6" xr:uid="{00000000-0005-0000-0000-000007000000}"/>
  </cellStyles>
  <dxfs count="0"/>
  <tableStyles count="0" defaultTableStyle="TableStyleMedium2" defaultPivotStyle="PivotStyleLight16"/>
  <colors>
    <mruColors>
      <color rgb="FF9F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3:N38"/>
  <sheetViews>
    <sheetView zoomScale="90" zoomScaleNormal="90" workbookViewId="0">
      <selection activeCell="F25" sqref="F25"/>
    </sheetView>
  </sheetViews>
  <sheetFormatPr defaultColWidth="9.109375" defaultRowHeight="13.2" x14ac:dyDescent="0.25"/>
  <cols>
    <col min="1" max="1" width="4.109375" style="2" customWidth="1"/>
    <col min="2" max="2" width="10.6640625" style="2" customWidth="1"/>
    <col min="3" max="4" width="16.44140625" style="2" customWidth="1"/>
    <col min="5" max="5" width="18.44140625" style="2" customWidth="1"/>
    <col min="6" max="7" width="18" style="2" customWidth="1"/>
    <col min="8" max="8" width="18.44140625" style="2" customWidth="1"/>
    <col min="9" max="9" width="9.109375" style="2"/>
    <col min="10" max="11" width="10.33203125" style="2" customWidth="1"/>
    <col min="12" max="12" width="20.109375" style="2" customWidth="1"/>
    <col min="13" max="13" width="9.109375" style="2"/>
    <col min="14" max="14" width="9.6640625" style="2" bestFit="1" customWidth="1"/>
    <col min="15" max="16384" width="9.109375" style="2"/>
  </cols>
  <sheetData>
    <row r="3" spans="2:13" x14ac:dyDescent="0.25">
      <c r="B3" s="66" t="s">
        <v>42</v>
      </c>
      <c r="C3" s="67"/>
      <c r="D3" s="67"/>
      <c r="E3" s="68"/>
    </row>
    <row r="4" spans="2:13" ht="14.4" customHeight="1" x14ac:dyDescent="0.25">
      <c r="B4" s="69" t="s">
        <v>65</v>
      </c>
      <c r="C4" s="69"/>
      <c r="D4" s="69"/>
      <c r="E4" s="69"/>
    </row>
    <row r="5" spans="2:13" ht="14.4" customHeight="1" x14ac:dyDescent="0.25">
      <c r="B5" s="69" t="s">
        <v>66</v>
      </c>
      <c r="C5" s="69"/>
      <c r="D5" s="69"/>
      <c r="E5" s="69"/>
    </row>
    <row r="8" spans="2:13" ht="15" customHeight="1" x14ac:dyDescent="0.25">
      <c r="B8" s="70" t="s">
        <v>0</v>
      </c>
      <c r="C8" s="70" t="s">
        <v>5</v>
      </c>
      <c r="D8" s="64" t="s">
        <v>6</v>
      </c>
      <c r="E8" s="64" t="s">
        <v>7</v>
      </c>
      <c r="F8" s="64" t="s">
        <v>8</v>
      </c>
      <c r="G8" s="64" t="s">
        <v>9</v>
      </c>
      <c r="H8" s="64" t="s">
        <v>10</v>
      </c>
      <c r="J8" s="21" t="s">
        <v>11</v>
      </c>
      <c r="K8" s="21" t="s">
        <v>22</v>
      </c>
      <c r="L8" s="21" t="s">
        <v>17</v>
      </c>
    </row>
    <row r="9" spans="2:13" x14ac:dyDescent="0.25">
      <c r="B9" s="71"/>
      <c r="C9" s="71"/>
      <c r="D9" s="65"/>
      <c r="E9" s="65"/>
      <c r="F9" s="65"/>
      <c r="G9" s="65"/>
      <c r="H9" s="65"/>
      <c r="J9" s="35">
        <v>2022</v>
      </c>
      <c r="K9" s="36">
        <f>C22</f>
        <v>987915.6757434</v>
      </c>
      <c r="L9" s="36">
        <f>ROUNDDOWN(SUM(H10:H21),0)</f>
        <v>953635</v>
      </c>
    </row>
    <row r="10" spans="2:13" ht="14.4" x14ac:dyDescent="0.3">
      <c r="B10" s="24">
        <v>44562</v>
      </c>
      <c r="C10" s="44">
        <f>Total!G4</f>
        <v>79499.06300060013</v>
      </c>
      <c r="D10" s="27">
        <v>0.96530000000000005</v>
      </c>
      <c r="E10" s="28">
        <f>C10*D10</f>
        <v>76740.445514479303</v>
      </c>
      <c r="F10" s="29">
        <v>0</v>
      </c>
      <c r="G10" s="29">
        <v>0</v>
      </c>
      <c r="H10" s="46">
        <f>E10-F10-G10</f>
        <v>76740.445514479303</v>
      </c>
      <c r="J10" s="37" t="s">
        <v>1</v>
      </c>
      <c r="K10" s="38">
        <f>SUM(C28:C31)</f>
        <v>987915.6757434</v>
      </c>
      <c r="L10" s="38">
        <f>H32</f>
        <v>953635</v>
      </c>
    </row>
    <row r="11" spans="2:13" ht="14.4" x14ac:dyDescent="0.3">
      <c r="B11" s="24">
        <v>44593</v>
      </c>
      <c r="C11" s="44">
        <f>Total!G5</f>
        <v>85147.607673800099</v>
      </c>
      <c r="D11" s="27">
        <v>0.96530000000000005</v>
      </c>
      <c r="E11" s="28">
        <f t="shared" ref="E11:E21" si="0">C11*D11</f>
        <v>82192.985687519234</v>
      </c>
      <c r="F11" s="29">
        <v>0</v>
      </c>
      <c r="G11" s="29">
        <v>0</v>
      </c>
      <c r="H11" s="46">
        <f>E11-F11-G11</f>
        <v>82192.985687519234</v>
      </c>
      <c r="M11" s="12"/>
    </row>
    <row r="12" spans="2:13" ht="14.4" x14ac:dyDescent="0.3">
      <c r="B12" s="24">
        <v>44621</v>
      </c>
      <c r="C12" s="44">
        <f>Total!G6</f>
        <v>94610.957849799859</v>
      </c>
      <c r="D12" s="27">
        <v>0.96530000000000005</v>
      </c>
      <c r="E12" s="28">
        <f t="shared" si="0"/>
        <v>91327.957612411803</v>
      </c>
      <c r="F12" s="29">
        <v>0</v>
      </c>
      <c r="G12" s="29">
        <v>0</v>
      </c>
      <c r="H12" s="46">
        <f t="shared" ref="H12:H21" si="1">E12-F12-G12</f>
        <v>91327.957612411803</v>
      </c>
      <c r="J12" s="2" t="s">
        <v>18</v>
      </c>
    </row>
    <row r="13" spans="2:13" ht="14.4" x14ac:dyDescent="0.3">
      <c r="B13" s="24">
        <v>44652</v>
      </c>
      <c r="C13" s="44">
        <f>Total!G7</f>
        <v>91581.711663800103</v>
      </c>
      <c r="D13" s="27">
        <v>0.96530000000000005</v>
      </c>
      <c r="E13" s="28">
        <f t="shared" si="0"/>
        <v>88403.826269066238</v>
      </c>
      <c r="F13" s="29">
        <v>0</v>
      </c>
      <c r="G13" s="29">
        <v>0</v>
      </c>
      <c r="H13" s="46">
        <f t="shared" si="1"/>
        <v>88403.826269066238</v>
      </c>
    </row>
    <row r="14" spans="2:13" ht="14.4" x14ac:dyDescent="0.3">
      <c r="B14" s="24">
        <v>44682</v>
      </c>
      <c r="C14" s="44">
        <f>Total!G8</f>
        <v>98620.769666399996</v>
      </c>
      <c r="D14" s="27">
        <v>0.96530000000000005</v>
      </c>
      <c r="E14" s="28">
        <f t="shared" si="0"/>
        <v>95198.628958975925</v>
      </c>
      <c r="F14" s="29">
        <v>0</v>
      </c>
      <c r="G14" s="29">
        <v>0</v>
      </c>
      <c r="H14" s="46">
        <f t="shared" si="1"/>
        <v>95198.628958975925</v>
      </c>
    </row>
    <row r="15" spans="2:13" ht="14.4" x14ac:dyDescent="0.3">
      <c r="B15" s="24">
        <v>44713</v>
      </c>
      <c r="C15" s="44">
        <f>Total!G9</f>
        <v>85430.365319600052</v>
      </c>
      <c r="D15" s="27">
        <v>0.96530000000000005</v>
      </c>
      <c r="E15" s="28">
        <f t="shared" si="0"/>
        <v>82465.931643009928</v>
      </c>
      <c r="F15" s="29">
        <v>0</v>
      </c>
      <c r="G15" s="29">
        <v>0</v>
      </c>
      <c r="H15" s="46">
        <f t="shared" si="1"/>
        <v>82465.931643009928</v>
      </c>
    </row>
    <row r="16" spans="2:13" ht="14.4" x14ac:dyDescent="0.3">
      <c r="B16" s="24">
        <v>44743</v>
      </c>
      <c r="C16" s="44">
        <f>Total!G10</f>
        <v>71949.137294199914</v>
      </c>
      <c r="D16" s="27">
        <v>0.96530000000000005</v>
      </c>
      <c r="E16" s="28">
        <f t="shared" si="0"/>
        <v>69452.502230091181</v>
      </c>
      <c r="F16" s="29">
        <v>0</v>
      </c>
      <c r="G16" s="29">
        <v>0</v>
      </c>
      <c r="H16" s="46">
        <f t="shared" si="1"/>
        <v>69452.502230091181</v>
      </c>
    </row>
    <row r="17" spans="2:14" ht="14.4" x14ac:dyDescent="0.3">
      <c r="B17" s="24">
        <v>44774</v>
      </c>
      <c r="C17" s="44">
        <f>Total!G11</f>
        <v>71299.583009000053</v>
      </c>
      <c r="D17" s="27">
        <v>0.96530000000000005</v>
      </c>
      <c r="E17" s="28">
        <f t="shared" si="0"/>
        <v>68825.487478587747</v>
      </c>
      <c r="F17" s="29">
        <v>0</v>
      </c>
      <c r="G17" s="29">
        <v>0</v>
      </c>
      <c r="H17" s="46">
        <f t="shared" si="1"/>
        <v>68825.487478587747</v>
      </c>
    </row>
    <row r="18" spans="2:14" ht="14.4" x14ac:dyDescent="0.3">
      <c r="B18" s="24">
        <v>44805</v>
      </c>
      <c r="C18" s="44">
        <f>Total!G12</f>
        <v>75866.260007039906</v>
      </c>
      <c r="D18" s="27">
        <v>0.96530000000000005</v>
      </c>
      <c r="E18" s="28">
        <f t="shared" si="0"/>
        <v>73233.700784795627</v>
      </c>
      <c r="F18" s="29">
        <v>0</v>
      </c>
      <c r="G18" s="29">
        <v>0</v>
      </c>
      <c r="H18" s="46">
        <f t="shared" si="1"/>
        <v>73233.700784795627</v>
      </c>
    </row>
    <row r="19" spans="2:14" ht="14.4" x14ac:dyDescent="0.3">
      <c r="B19" s="24">
        <v>44835</v>
      </c>
      <c r="C19" s="44">
        <f>Total!G13</f>
        <v>81834.362877360079</v>
      </c>
      <c r="D19" s="27">
        <v>0.96530000000000005</v>
      </c>
      <c r="E19" s="28">
        <f t="shared" si="0"/>
        <v>78994.710485515694</v>
      </c>
      <c r="F19" s="29">
        <v>0</v>
      </c>
      <c r="G19" s="29">
        <v>0</v>
      </c>
      <c r="H19" s="46">
        <f t="shared" si="1"/>
        <v>78994.710485515694</v>
      </c>
    </row>
    <row r="20" spans="2:14" ht="14.4" x14ac:dyDescent="0.3">
      <c r="B20" s="24">
        <v>44866</v>
      </c>
      <c r="C20" s="44">
        <f>Total!G14</f>
        <v>74153.547116399903</v>
      </c>
      <c r="D20" s="27">
        <v>0.96530000000000005</v>
      </c>
      <c r="E20" s="28">
        <f t="shared" si="0"/>
        <v>71580.419031460828</v>
      </c>
      <c r="F20" s="29">
        <v>0</v>
      </c>
      <c r="G20" s="29">
        <v>0</v>
      </c>
      <c r="H20" s="46">
        <f t="shared" si="1"/>
        <v>71580.419031460828</v>
      </c>
    </row>
    <row r="21" spans="2:14" ht="14.4" x14ac:dyDescent="0.3">
      <c r="B21" s="24">
        <v>44896</v>
      </c>
      <c r="C21" s="44">
        <f>Total!G15</f>
        <v>77922.310265400025</v>
      </c>
      <c r="D21" s="27">
        <v>0.96530000000000005</v>
      </c>
      <c r="E21" s="28">
        <f t="shared" si="0"/>
        <v>75218.406099190644</v>
      </c>
      <c r="F21" s="29">
        <v>0</v>
      </c>
      <c r="G21" s="29">
        <v>0</v>
      </c>
      <c r="H21" s="46">
        <f t="shared" si="1"/>
        <v>75218.406099190644</v>
      </c>
    </row>
    <row r="22" spans="2:14" x14ac:dyDescent="0.25">
      <c r="B22" s="30" t="s">
        <v>12</v>
      </c>
      <c r="C22" s="45">
        <f>SUM(C10:C21)</f>
        <v>987915.6757434</v>
      </c>
      <c r="D22" s="31">
        <v>0</v>
      </c>
      <c r="E22" s="32">
        <f>ROUNDDOWN(SUM(E10:E21),0)</f>
        <v>953635</v>
      </c>
      <c r="F22" s="31">
        <f>SUM(F10:F21)</f>
        <v>0</v>
      </c>
      <c r="G22" s="31">
        <f>SUM(G10:G21)</f>
        <v>0</v>
      </c>
      <c r="H22" s="47">
        <f>ROUNDDOWN(SUM(H10:H21),0)</f>
        <v>953635</v>
      </c>
    </row>
    <row r="24" spans="2:14" x14ac:dyDescent="0.25">
      <c r="L24" s="14"/>
      <c r="N24" s="19"/>
    </row>
    <row r="25" spans="2:14" x14ac:dyDescent="0.25">
      <c r="B25" s="2" t="s">
        <v>16</v>
      </c>
    </row>
    <row r="26" spans="2:14" x14ac:dyDescent="0.25">
      <c r="B26" s="63" t="s">
        <v>0</v>
      </c>
      <c r="C26" s="63" t="s">
        <v>5</v>
      </c>
      <c r="D26" s="62" t="s">
        <v>6</v>
      </c>
      <c r="E26" s="62" t="s">
        <v>7</v>
      </c>
      <c r="F26" s="62" t="s">
        <v>8</v>
      </c>
      <c r="G26" s="62" t="s">
        <v>9</v>
      </c>
      <c r="H26" s="62" t="s">
        <v>10</v>
      </c>
    </row>
    <row r="27" spans="2:14" x14ac:dyDescent="0.25">
      <c r="B27" s="63"/>
      <c r="C27" s="63"/>
      <c r="D27" s="62"/>
      <c r="E27" s="62"/>
      <c r="F27" s="62"/>
      <c r="G27" s="62"/>
      <c r="H27" s="62"/>
    </row>
    <row r="28" spans="2:14" x14ac:dyDescent="0.25">
      <c r="B28" s="33" t="s">
        <v>2</v>
      </c>
      <c r="C28" s="34">
        <f>'50MW_AP'!P17</f>
        <v>74822.447617399986</v>
      </c>
      <c r="D28" s="27">
        <f>$D$21</f>
        <v>0.96530000000000005</v>
      </c>
      <c r="E28" s="3">
        <f>C28*D28</f>
        <v>72226.108685076208</v>
      </c>
      <c r="F28" s="29">
        <v>0</v>
      </c>
      <c r="G28" s="29">
        <v>0</v>
      </c>
      <c r="H28" s="3">
        <f>E28-F28-G28</f>
        <v>72226.108685076208</v>
      </c>
    </row>
    <row r="29" spans="2:14" x14ac:dyDescent="0.25">
      <c r="B29" s="33" t="s">
        <v>3</v>
      </c>
      <c r="C29" s="34">
        <f>'260MW_RJ'!AF18</f>
        <v>431144.88</v>
      </c>
      <c r="D29" s="27">
        <f t="shared" ref="D29:D31" si="2">$D$21</f>
        <v>0.96530000000000005</v>
      </c>
      <c r="E29" s="3">
        <f t="shared" ref="E29:E31" si="3">C29*D29</f>
        <v>416184.15266400005</v>
      </c>
      <c r="F29" s="29">
        <v>0</v>
      </c>
      <c r="G29" s="29">
        <v>0</v>
      </c>
      <c r="H29" s="3">
        <f t="shared" ref="H29" si="4">E29-F29-G29</f>
        <v>416184.15266400005</v>
      </c>
    </row>
    <row r="30" spans="2:14" x14ac:dyDescent="0.25">
      <c r="B30" s="33" t="s">
        <v>4</v>
      </c>
      <c r="C30" s="34">
        <f>'250MW_MP'!Y18</f>
        <v>381807.58400000003</v>
      </c>
      <c r="D30" s="27">
        <f t="shared" si="2"/>
        <v>0.96530000000000005</v>
      </c>
      <c r="E30" s="3">
        <f t="shared" si="3"/>
        <v>368558.86083520006</v>
      </c>
      <c r="F30" s="29">
        <v>0</v>
      </c>
      <c r="G30" s="29">
        <v>0</v>
      </c>
      <c r="H30" s="3">
        <f>E30-F30-G30</f>
        <v>368558.86083520006</v>
      </c>
    </row>
    <row r="31" spans="2:14" x14ac:dyDescent="0.25">
      <c r="B31" s="33" t="s">
        <v>13</v>
      </c>
      <c r="C31" s="34">
        <f>'50MW_GJ'!L17</f>
        <v>100140.76412600001</v>
      </c>
      <c r="D31" s="27">
        <f t="shared" si="2"/>
        <v>0.96530000000000005</v>
      </c>
      <c r="E31" s="3">
        <f t="shared" si="3"/>
        <v>96665.879610827818</v>
      </c>
      <c r="F31" s="29">
        <v>0</v>
      </c>
      <c r="G31" s="29">
        <v>0</v>
      </c>
      <c r="H31" s="3">
        <f>E31-F31-G31</f>
        <v>96665.879610827818</v>
      </c>
    </row>
    <row r="32" spans="2:14" ht="12.75" customHeight="1" x14ac:dyDescent="0.25">
      <c r="G32" s="49" t="s">
        <v>1</v>
      </c>
      <c r="H32" s="50">
        <f>ROUNDDOWN(SUM(H28:H31),0)</f>
        <v>953635</v>
      </c>
    </row>
    <row r="34" spans="10:12" x14ac:dyDescent="0.25">
      <c r="L34" s="15"/>
    </row>
    <row r="35" spans="10:12" x14ac:dyDescent="0.25">
      <c r="J35" s="14"/>
      <c r="K35" s="14"/>
    </row>
    <row r="38" spans="10:12" x14ac:dyDescent="0.25">
      <c r="L38" s="15"/>
    </row>
  </sheetData>
  <mergeCells count="17">
    <mergeCell ref="G8:G9"/>
    <mergeCell ref="H8:H9"/>
    <mergeCell ref="B3:E3"/>
    <mergeCell ref="B5:E5"/>
    <mergeCell ref="B4:E4"/>
    <mergeCell ref="B8:B9"/>
    <mergeCell ref="C8:C9"/>
    <mergeCell ref="D8:D9"/>
    <mergeCell ref="E8:E9"/>
    <mergeCell ref="F8:F9"/>
    <mergeCell ref="H26:H27"/>
    <mergeCell ref="B26:B27"/>
    <mergeCell ref="C26:C27"/>
    <mergeCell ref="D26:D27"/>
    <mergeCell ref="E26:E27"/>
    <mergeCell ref="F26:F27"/>
    <mergeCell ref="G26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C3BD-5EFE-4F90-BA88-649F7C847CCE}">
  <sheetPr codeName="Sheet1"/>
  <dimension ref="B2:Q17"/>
  <sheetViews>
    <sheetView tabSelected="1" workbookViewId="0">
      <selection activeCell="K19" sqref="K19"/>
    </sheetView>
  </sheetViews>
  <sheetFormatPr defaultRowHeight="14.4" x14ac:dyDescent="0.3"/>
  <cols>
    <col min="2" max="2" width="11.6640625" customWidth="1"/>
    <col min="3" max="4" width="14.6640625" customWidth="1"/>
    <col min="5" max="5" width="14.77734375" customWidth="1"/>
    <col min="6" max="6" width="18.77734375" customWidth="1"/>
    <col min="7" max="7" width="15" customWidth="1"/>
    <col min="8" max="8" width="17.21875" customWidth="1"/>
    <col min="9" max="9" width="11.33203125" bestFit="1" customWidth="1"/>
    <col min="10" max="10" width="11.33203125" customWidth="1"/>
    <col min="11" max="11" width="9.33203125" bestFit="1" customWidth="1"/>
    <col min="12" max="12" width="12.5546875" customWidth="1"/>
    <col min="13" max="13" width="8.33203125" bestFit="1" customWidth="1"/>
    <col min="14" max="14" width="11.33203125" bestFit="1" customWidth="1"/>
    <col min="16" max="16" width="10.33203125" bestFit="1" customWidth="1"/>
  </cols>
  <sheetData>
    <row r="2" spans="2:16" ht="14.55" customHeight="1" x14ac:dyDescent="0.3">
      <c r="B2" s="76" t="s">
        <v>50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8"/>
    </row>
    <row r="3" spans="2:16" ht="82.8" x14ac:dyDescent="0.3">
      <c r="B3" s="42" t="s">
        <v>47</v>
      </c>
      <c r="C3" s="42" t="s">
        <v>57</v>
      </c>
      <c r="D3" s="42" t="s">
        <v>54</v>
      </c>
      <c r="E3" s="42" t="s">
        <v>58</v>
      </c>
      <c r="F3" s="42" t="s">
        <v>59</v>
      </c>
      <c r="G3" s="42" t="s">
        <v>60</v>
      </c>
      <c r="H3" s="42" t="s">
        <v>61</v>
      </c>
      <c r="I3" s="42" t="s">
        <v>57</v>
      </c>
      <c r="J3" s="42" t="s">
        <v>54</v>
      </c>
      <c r="K3" s="42" t="s">
        <v>58</v>
      </c>
      <c r="L3" s="42" t="s">
        <v>59</v>
      </c>
      <c r="M3" s="42" t="s">
        <v>60</v>
      </c>
      <c r="N3" s="42" t="s">
        <v>61</v>
      </c>
      <c r="O3" s="52" t="s">
        <v>62</v>
      </c>
      <c r="P3" s="42" t="s">
        <v>52</v>
      </c>
    </row>
    <row r="4" spans="2:16" x14ac:dyDescent="0.3">
      <c r="B4" s="23"/>
      <c r="C4" s="72" t="s">
        <v>63</v>
      </c>
      <c r="D4" s="73"/>
      <c r="E4" s="73"/>
      <c r="F4" s="73"/>
      <c r="G4" s="74"/>
      <c r="H4" s="40"/>
      <c r="I4" s="75" t="s">
        <v>48</v>
      </c>
      <c r="J4" s="73"/>
      <c r="K4" s="73"/>
      <c r="L4" s="73"/>
      <c r="M4" s="74"/>
      <c r="N4" s="40"/>
      <c r="O4" s="41"/>
      <c r="P4" s="23"/>
    </row>
    <row r="5" spans="2:16" x14ac:dyDescent="0.3">
      <c r="B5" s="24">
        <v>44562</v>
      </c>
      <c r="C5" s="57">
        <v>3534494.1000000099</v>
      </c>
      <c r="D5" s="57">
        <f>C5-C5*0.2%</f>
        <v>3527425.1118000099</v>
      </c>
      <c r="E5" s="57">
        <v>22547.400000000198</v>
      </c>
      <c r="F5" s="57">
        <f>E5+E5*0.2%</f>
        <v>22592.494800000197</v>
      </c>
      <c r="G5" s="58">
        <f t="shared" ref="G5:G16" si="0">(C5-E5)/1000</f>
        <v>3511.9467000000095</v>
      </c>
      <c r="H5" s="58">
        <f>(D5-F5)/1000</f>
        <v>3504.83261700001</v>
      </c>
      <c r="I5" s="57">
        <v>3247036.7</v>
      </c>
      <c r="J5" s="57">
        <f>I5-I5*0.2%</f>
        <v>3240542.6266000001</v>
      </c>
      <c r="K5" s="57">
        <v>19371.5</v>
      </c>
      <c r="L5" s="57">
        <f>K5+K5*0.2%</f>
        <v>19410.242999999999</v>
      </c>
      <c r="M5" s="58">
        <f t="shared" ref="M5:M16" si="1">(I5-K5)/1000</f>
        <v>3227.6652000000004</v>
      </c>
      <c r="N5" s="59">
        <f>(J5-L5)/1000</f>
        <v>3221.1323836000001</v>
      </c>
      <c r="O5" s="53">
        <f>G5+M5</f>
        <v>6739.6119000000099</v>
      </c>
      <c r="P5" s="4">
        <f>SUM(H5+N5)</f>
        <v>6725.9650006000102</v>
      </c>
    </row>
    <row r="6" spans="2:16" x14ac:dyDescent="0.3">
      <c r="B6" s="24">
        <v>44593</v>
      </c>
      <c r="C6" s="57">
        <v>4934005.4999999991</v>
      </c>
      <c r="D6" s="57">
        <f t="shared" ref="D6:D16" si="2">C6-C6*0.2%</f>
        <v>4924137.4889999991</v>
      </c>
      <c r="E6" s="57">
        <v>24866.700000000037</v>
      </c>
      <c r="F6" s="57">
        <f t="shared" ref="F6:F16" si="3">E6+E6*0.2%</f>
        <v>24916.433400000038</v>
      </c>
      <c r="G6" s="58">
        <f t="shared" si="0"/>
        <v>4909.1387999999988</v>
      </c>
      <c r="H6" s="58">
        <f t="shared" ref="H6:H16" si="4">(D6-F6)/1000</f>
        <v>4899.2210555999991</v>
      </c>
      <c r="I6" s="57">
        <v>2300471.6999999946</v>
      </c>
      <c r="J6" s="57">
        <f t="shared" ref="J6:J16" si="5">I6-I6*0.2%</f>
        <v>2295870.7565999944</v>
      </c>
      <c r="K6" s="57">
        <v>12469.2</v>
      </c>
      <c r="L6" s="57">
        <f t="shared" ref="L6:L16" si="6">K6+K6*0.2%</f>
        <v>12494.1384</v>
      </c>
      <c r="M6" s="58">
        <f t="shared" si="1"/>
        <v>2288.0024999999946</v>
      </c>
      <c r="N6" s="59">
        <f t="shared" ref="N6:N16" si="7">(J6-L6)/1000</f>
        <v>2283.3766181999945</v>
      </c>
      <c r="O6" s="53">
        <f t="shared" ref="O6:O16" si="8">G6+M6</f>
        <v>7197.1412999999939</v>
      </c>
      <c r="P6" s="4">
        <f t="shared" ref="P6:P16" si="9">SUM(H6+N6)</f>
        <v>7182.5976737999936</v>
      </c>
    </row>
    <row r="7" spans="2:16" x14ac:dyDescent="0.3">
      <c r="B7" s="24">
        <v>44621</v>
      </c>
      <c r="C7" s="57">
        <v>4155907.0999999819</v>
      </c>
      <c r="D7" s="57">
        <f t="shared" si="2"/>
        <v>4147595.285799982</v>
      </c>
      <c r="E7" s="57">
        <v>23619.899999999914</v>
      </c>
      <c r="F7" s="57">
        <f t="shared" si="3"/>
        <v>23667.139799999914</v>
      </c>
      <c r="G7" s="58">
        <f t="shared" si="0"/>
        <v>4132.2871999999825</v>
      </c>
      <c r="H7" s="58">
        <f t="shared" si="4"/>
        <v>4123.928145999982</v>
      </c>
      <c r="I7" s="57">
        <v>3046663.4999999953</v>
      </c>
      <c r="J7" s="57">
        <f t="shared" si="5"/>
        <v>3040570.1729999953</v>
      </c>
      <c r="K7" s="57">
        <v>16434.600000000046</v>
      </c>
      <c r="L7" s="57">
        <f t="shared" si="6"/>
        <v>16467.469200000047</v>
      </c>
      <c r="M7" s="58">
        <f t="shared" si="1"/>
        <v>3030.2288999999951</v>
      </c>
      <c r="N7" s="59">
        <f t="shared" si="7"/>
        <v>3024.1027037999952</v>
      </c>
      <c r="O7" s="53">
        <f t="shared" si="8"/>
        <v>7162.5160999999771</v>
      </c>
      <c r="P7" s="4">
        <f t="shared" si="9"/>
        <v>7148.0308497999777</v>
      </c>
    </row>
    <row r="8" spans="2:16" x14ac:dyDescent="0.3">
      <c r="B8" s="24">
        <v>44652</v>
      </c>
      <c r="C8" s="57">
        <v>3739190.20000001</v>
      </c>
      <c r="D8" s="57">
        <f t="shared" si="2"/>
        <v>3731711.8196000098</v>
      </c>
      <c r="E8" s="57">
        <v>20477.200000000041</v>
      </c>
      <c r="F8" s="57">
        <f t="shared" si="3"/>
        <v>20518.154400000039</v>
      </c>
      <c r="G8" s="58">
        <f t="shared" si="0"/>
        <v>3718.7130000000097</v>
      </c>
      <c r="H8" s="58">
        <f t="shared" si="4"/>
        <v>3711.1936652000099</v>
      </c>
      <c r="I8" s="57">
        <v>3410608.899999992</v>
      </c>
      <c r="J8" s="57">
        <f t="shared" si="5"/>
        <v>3403787.6821999922</v>
      </c>
      <c r="K8" s="57">
        <v>17441.800000000057</v>
      </c>
      <c r="L8" s="57">
        <f t="shared" si="6"/>
        <v>17476.683600000059</v>
      </c>
      <c r="M8" s="58">
        <f t="shared" si="1"/>
        <v>3393.1670999999919</v>
      </c>
      <c r="N8" s="59">
        <f t="shared" si="7"/>
        <v>3386.3109985999922</v>
      </c>
      <c r="O8" s="53">
        <f t="shared" si="8"/>
        <v>7111.8801000000021</v>
      </c>
      <c r="P8" s="4">
        <f t="shared" si="9"/>
        <v>7097.5046638000022</v>
      </c>
    </row>
    <row r="9" spans="2:16" x14ac:dyDescent="0.3">
      <c r="B9" s="24">
        <v>44682</v>
      </c>
      <c r="C9" s="57">
        <v>3318307.3999999906</v>
      </c>
      <c r="D9" s="57">
        <f t="shared" si="2"/>
        <v>3311670.7851999905</v>
      </c>
      <c r="E9" s="57">
        <v>20684.799999999996</v>
      </c>
      <c r="F9" s="57">
        <f t="shared" si="3"/>
        <v>20726.169599999994</v>
      </c>
      <c r="G9" s="58">
        <f t="shared" si="0"/>
        <v>3297.6225999999906</v>
      </c>
      <c r="H9" s="58">
        <f t="shared" si="4"/>
        <v>3290.9446155999904</v>
      </c>
      <c r="I9" s="57">
        <v>3028388.3000000203</v>
      </c>
      <c r="J9" s="57">
        <f t="shared" si="5"/>
        <v>3022331.5234000203</v>
      </c>
      <c r="K9" s="57">
        <v>17586.299999999937</v>
      </c>
      <c r="L9" s="57">
        <f t="shared" si="6"/>
        <v>17621.472599999935</v>
      </c>
      <c r="M9" s="58">
        <f t="shared" si="1"/>
        <v>3010.8020000000206</v>
      </c>
      <c r="N9" s="59">
        <f t="shared" si="7"/>
        <v>3004.7100508000203</v>
      </c>
      <c r="O9" s="53">
        <f t="shared" si="8"/>
        <v>6308.4246000000112</v>
      </c>
      <c r="P9" s="4">
        <f t="shared" si="9"/>
        <v>6295.6546664000107</v>
      </c>
    </row>
    <row r="10" spans="2:16" x14ac:dyDescent="0.3">
      <c r="B10" s="24">
        <v>44713</v>
      </c>
      <c r="C10" s="57">
        <v>3436239.9000000153</v>
      </c>
      <c r="D10" s="57">
        <f t="shared" si="2"/>
        <v>3429367.4202000154</v>
      </c>
      <c r="E10" s="57">
        <v>18674.299999999901</v>
      </c>
      <c r="F10" s="57">
        <f t="shared" si="3"/>
        <v>18711.648599999902</v>
      </c>
      <c r="G10" s="58">
        <f t="shared" si="0"/>
        <v>3417.5656000000154</v>
      </c>
      <c r="H10" s="58">
        <f t="shared" si="4"/>
        <v>3410.6557716000157</v>
      </c>
      <c r="I10" s="57">
        <v>3153862.5999999931</v>
      </c>
      <c r="J10" s="57">
        <f t="shared" si="5"/>
        <v>3147554.8747999929</v>
      </c>
      <c r="K10" s="57">
        <v>16963.400000000092</v>
      </c>
      <c r="L10" s="57">
        <f t="shared" si="6"/>
        <v>16997.326800000093</v>
      </c>
      <c r="M10" s="58">
        <f t="shared" si="1"/>
        <v>3136.899199999993</v>
      </c>
      <c r="N10" s="59">
        <f t="shared" si="7"/>
        <v>3130.5575479999929</v>
      </c>
      <c r="O10" s="53">
        <f t="shared" si="8"/>
        <v>6554.4648000000088</v>
      </c>
      <c r="P10" s="4">
        <f t="shared" si="9"/>
        <v>6541.2133196000086</v>
      </c>
    </row>
    <row r="11" spans="2:16" x14ac:dyDescent="0.3">
      <c r="B11" s="24">
        <v>44743</v>
      </c>
      <c r="C11" s="57">
        <v>2895588.799999998</v>
      </c>
      <c r="D11" s="57">
        <f t="shared" si="2"/>
        <v>2889797.6223999979</v>
      </c>
      <c r="E11" s="57">
        <v>20245.699999999943</v>
      </c>
      <c r="F11" s="57">
        <f t="shared" si="3"/>
        <v>20286.191399999941</v>
      </c>
      <c r="G11" s="58">
        <f t="shared" si="0"/>
        <v>2875.3430999999982</v>
      </c>
      <c r="H11" s="58">
        <f t="shared" si="4"/>
        <v>2869.5114309999981</v>
      </c>
      <c r="I11" s="57">
        <v>2653850.6000000052</v>
      </c>
      <c r="J11" s="57">
        <f t="shared" si="5"/>
        <v>2648542.8988000052</v>
      </c>
      <c r="K11" s="57">
        <v>17617.799999999988</v>
      </c>
      <c r="L11" s="57">
        <f t="shared" si="6"/>
        <v>17653.035599999988</v>
      </c>
      <c r="M11" s="58">
        <f t="shared" si="1"/>
        <v>2636.2328000000052</v>
      </c>
      <c r="N11" s="59">
        <f t="shared" si="7"/>
        <v>2630.889863200005</v>
      </c>
      <c r="O11" s="53">
        <f t="shared" si="8"/>
        <v>5511.5759000000035</v>
      </c>
      <c r="P11" s="4">
        <f t="shared" si="9"/>
        <v>5500.4012942000027</v>
      </c>
    </row>
    <row r="12" spans="2:16" x14ac:dyDescent="0.3">
      <c r="B12" s="24">
        <v>44774</v>
      </c>
      <c r="C12" s="57">
        <v>3184195.6000000061</v>
      </c>
      <c r="D12" s="57">
        <f t="shared" si="2"/>
        <v>3177827.2088000062</v>
      </c>
      <c r="E12" s="57">
        <v>20226.700000000164</v>
      </c>
      <c r="F12" s="57">
        <f t="shared" si="3"/>
        <v>20267.153400000163</v>
      </c>
      <c r="G12" s="58">
        <f t="shared" si="0"/>
        <v>3163.9689000000058</v>
      </c>
      <c r="H12" s="58">
        <f t="shared" si="4"/>
        <v>3157.5600554000061</v>
      </c>
      <c r="I12" s="57">
        <v>2893984.2000000062</v>
      </c>
      <c r="J12" s="57">
        <f t="shared" si="5"/>
        <v>2888196.2316000061</v>
      </c>
      <c r="K12" s="57">
        <v>17638.999999999898</v>
      </c>
      <c r="L12" s="57">
        <f t="shared" si="6"/>
        <v>17674.277999999897</v>
      </c>
      <c r="M12" s="58">
        <f t="shared" si="1"/>
        <v>2876.3452000000061</v>
      </c>
      <c r="N12" s="59">
        <f t="shared" si="7"/>
        <v>2870.5219536000063</v>
      </c>
      <c r="O12" s="53">
        <f t="shared" si="8"/>
        <v>6040.3141000000123</v>
      </c>
      <c r="P12" s="4">
        <f t="shared" si="9"/>
        <v>6028.0820090000125</v>
      </c>
    </row>
    <row r="13" spans="2:16" x14ac:dyDescent="0.3">
      <c r="B13" s="24">
        <v>44805</v>
      </c>
      <c r="C13" s="57">
        <v>3130029.7799999826</v>
      </c>
      <c r="D13" s="57">
        <f t="shared" si="2"/>
        <v>3123769.7204399826</v>
      </c>
      <c r="E13" s="57">
        <v>19869.299999999839</v>
      </c>
      <c r="F13" s="57">
        <f t="shared" si="3"/>
        <v>19909.03859999984</v>
      </c>
      <c r="G13" s="58">
        <f t="shared" si="0"/>
        <v>3110.1604799999827</v>
      </c>
      <c r="H13" s="58">
        <f t="shared" si="4"/>
        <v>3103.860681839983</v>
      </c>
      <c r="I13" s="57">
        <v>2872329.1999999783</v>
      </c>
      <c r="J13" s="57">
        <f t="shared" si="5"/>
        <v>2866584.5415999782</v>
      </c>
      <c r="K13" s="57">
        <v>17508.19999999999</v>
      </c>
      <c r="L13" s="57">
        <f t="shared" si="6"/>
        <v>17543.21639999999</v>
      </c>
      <c r="M13" s="58">
        <f t="shared" si="1"/>
        <v>2854.8209999999781</v>
      </c>
      <c r="N13" s="59">
        <f t="shared" si="7"/>
        <v>2849.0413251999785</v>
      </c>
      <c r="O13" s="53">
        <f t="shared" si="8"/>
        <v>5964.9814799999604</v>
      </c>
      <c r="P13" s="4">
        <f t="shared" si="9"/>
        <v>5952.902007039962</v>
      </c>
    </row>
    <row r="14" spans="2:16" x14ac:dyDescent="0.3">
      <c r="B14" s="24">
        <v>44835</v>
      </c>
      <c r="C14" s="57">
        <v>3093942.3200000022</v>
      </c>
      <c r="D14" s="57">
        <f t="shared" si="2"/>
        <v>3087754.4353600023</v>
      </c>
      <c r="E14" s="57">
        <v>21816.300000000185</v>
      </c>
      <c r="F14" s="57">
        <f t="shared" si="3"/>
        <v>21859.932600000186</v>
      </c>
      <c r="G14" s="58">
        <f t="shared" si="0"/>
        <v>3072.126020000002</v>
      </c>
      <c r="H14" s="58">
        <f t="shared" si="4"/>
        <v>3065.8945027600021</v>
      </c>
      <c r="I14" s="57">
        <v>2844207.2000000044</v>
      </c>
      <c r="J14" s="57">
        <f t="shared" si="5"/>
        <v>2838518.7856000043</v>
      </c>
      <c r="K14" s="57">
        <v>19455.500000000029</v>
      </c>
      <c r="L14" s="57">
        <f t="shared" si="6"/>
        <v>19494.411000000029</v>
      </c>
      <c r="M14" s="58">
        <f t="shared" si="1"/>
        <v>2824.7517000000043</v>
      </c>
      <c r="N14" s="59">
        <f t="shared" si="7"/>
        <v>2819.0243746000042</v>
      </c>
      <c r="O14" s="53">
        <f t="shared" si="8"/>
        <v>5896.8777200000059</v>
      </c>
      <c r="P14" s="4">
        <f t="shared" si="9"/>
        <v>5884.9188773600063</v>
      </c>
    </row>
    <row r="15" spans="2:16" x14ac:dyDescent="0.3">
      <c r="B15" s="24">
        <v>44866</v>
      </c>
      <c r="C15" s="57">
        <v>2615891.100000008</v>
      </c>
      <c r="D15" s="57">
        <f t="shared" si="2"/>
        <v>2610659.3178000078</v>
      </c>
      <c r="E15" s="57">
        <v>21994.599999999991</v>
      </c>
      <c r="F15" s="57">
        <f t="shared" si="3"/>
        <v>22038.589199999991</v>
      </c>
      <c r="G15" s="58">
        <f t="shared" si="0"/>
        <v>2593.896500000008</v>
      </c>
      <c r="H15" s="58">
        <f t="shared" si="4"/>
        <v>2588.6207286000081</v>
      </c>
      <c r="I15" s="57">
        <v>2402840.5999999959</v>
      </c>
      <c r="J15" s="57">
        <f t="shared" si="5"/>
        <v>2398034.9187999959</v>
      </c>
      <c r="K15" s="57">
        <v>19804.499999999964</v>
      </c>
      <c r="L15" s="57">
        <f t="shared" si="6"/>
        <v>19844.108999999964</v>
      </c>
      <c r="M15" s="58">
        <f t="shared" si="1"/>
        <v>2383.0360999999957</v>
      </c>
      <c r="N15" s="59">
        <f t="shared" si="7"/>
        <v>2378.1908097999958</v>
      </c>
      <c r="O15" s="53">
        <f t="shared" si="8"/>
        <v>4976.9326000000037</v>
      </c>
      <c r="P15" s="4">
        <f t="shared" si="9"/>
        <v>4966.8115384000039</v>
      </c>
    </row>
    <row r="16" spans="2:16" x14ac:dyDescent="0.3">
      <c r="B16" s="24">
        <v>44896</v>
      </c>
      <c r="C16" s="57">
        <v>2905514.2999999807</v>
      </c>
      <c r="D16" s="57">
        <f t="shared" si="2"/>
        <v>2899703.2713999809</v>
      </c>
      <c r="E16" s="57">
        <v>22205.600000000006</v>
      </c>
      <c r="F16" s="57">
        <f t="shared" si="3"/>
        <v>22250.011200000004</v>
      </c>
      <c r="G16" s="58">
        <f t="shared" si="0"/>
        <v>2883.3086999999805</v>
      </c>
      <c r="H16" s="58">
        <f t="shared" si="4"/>
        <v>2877.4532601999808</v>
      </c>
      <c r="I16" s="57">
        <v>2646659.000000014</v>
      </c>
      <c r="J16" s="57">
        <f t="shared" si="5"/>
        <v>2641365.682000014</v>
      </c>
      <c r="K16" s="57">
        <v>20412.400000000162</v>
      </c>
      <c r="L16" s="57">
        <f t="shared" si="6"/>
        <v>20453.224800000164</v>
      </c>
      <c r="M16" s="58">
        <f t="shared" si="1"/>
        <v>2626.2466000000136</v>
      </c>
      <c r="N16" s="59">
        <f t="shared" si="7"/>
        <v>2620.9124572000142</v>
      </c>
      <c r="O16" s="53">
        <f t="shared" si="8"/>
        <v>5509.5552999999945</v>
      </c>
      <c r="P16" s="4">
        <f t="shared" si="9"/>
        <v>5498.3657173999945</v>
      </c>
    </row>
    <row r="17" spans="2:17" x14ac:dyDescent="0.3">
      <c r="B17" s="25" t="s">
        <v>1</v>
      </c>
      <c r="C17" s="43">
        <f t="shared" ref="C17:O17" si="10">SUM(C5:C16)</f>
        <v>40943306.099999987</v>
      </c>
      <c r="D17" s="43"/>
      <c r="E17" s="43">
        <f t="shared" si="10"/>
        <v>257228.5000000002</v>
      </c>
      <c r="F17" s="43"/>
      <c r="G17" s="43">
        <f t="shared" si="10"/>
        <v>40686.07759999999</v>
      </c>
      <c r="H17" s="43">
        <f>SUM(H5:H16)</f>
        <v>40603.676530799981</v>
      </c>
      <c r="I17" s="43">
        <f t="shared" si="10"/>
        <v>34500902.5</v>
      </c>
      <c r="J17" s="43">
        <f>SUM(J5:J16)</f>
        <v>34431900.694999993</v>
      </c>
      <c r="K17" s="43">
        <f t="shared" si="10"/>
        <v>212704.20000000019</v>
      </c>
      <c r="L17" s="43">
        <f>SUM(L5:L16)</f>
        <v>213129.6084000002</v>
      </c>
      <c r="M17" s="43">
        <f t="shared" si="10"/>
        <v>34288.198299999996</v>
      </c>
      <c r="N17" s="55">
        <f>SUM(N5:N16)</f>
        <v>34218.771086599998</v>
      </c>
      <c r="O17" s="54">
        <f t="shared" si="10"/>
        <v>74974.275899999979</v>
      </c>
      <c r="P17" s="51">
        <f>SUM(P5:P16)</f>
        <v>74822.447617399986</v>
      </c>
      <c r="Q17" s="48"/>
    </row>
  </sheetData>
  <mergeCells count="3">
    <mergeCell ref="C4:G4"/>
    <mergeCell ref="I4:M4"/>
    <mergeCell ref="B2:P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F23"/>
  <sheetViews>
    <sheetView topLeftCell="Q1" workbookViewId="0">
      <selection activeCell="Y21" sqref="Y21"/>
    </sheetView>
  </sheetViews>
  <sheetFormatPr defaultColWidth="8.77734375" defaultRowHeight="14.4" x14ac:dyDescent="0.3"/>
  <cols>
    <col min="1" max="1" width="6.33203125" bestFit="1" customWidth="1"/>
    <col min="2" max="2" width="7.109375" bestFit="1" customWidth="1"/>
    <col min="3" max="4" width="9.77734375" bestFit="1" customWidth="1"/>
    <col min="6" max="7" width="6.77734375" bestFit="1" customWidth="1"/>
    <col min="8" max="8" width="5.77734375" bestFit="1" customWidth="1"/>
    <col min="9" max="11" width="9.77734375" bestFit="1" customWidth="1"/>
    <col min="13" max="14" width="6.77734375" bestFit="1" customWidth="1"/>
    <col min="15" max="15" width="5.77734375" bestFit="1" customWidth="1"/>
    <col min="16" max="16" width="9.77734375" bestFit="1" customWidth="1"/>
    <col min="19" max="19" width="7.77734375" bestFit="1" customWidth="1"/>
    <col min="20" max="21" width="6.77734375" bestFit="1" customWidth="1"/>
    <col min="22" max="22" width="5.77734375" bestFit="1" customWidth="1"/>
    <col min="23" max="25" width="9.77734375" bestFit="1" customWidth="1"/>
    <col min="27" max="28" width="6.77734375" bestFit="1" customWidth="1"/>
    <col min="29" max="29" width="5.77734375" bestFit="1" customWidth="1"/>
    <col min="30" max="30" width="9.77734375" bestFit="1" customWidth="1"/>
    <col min="31" max="31" width="14.109375" customWidth="1"/>
    <col min="32" max="32" width="14.77734375" customWidth="1"/>
  </cols>
  <sheetData>
    <row r="2" spans="1:32" s="1" customFormat="1" x14ac:dyDescent="0.3">
      <c r="A2" s="79" t="s">
        <v>44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</row>
    <row r="3" spans="1:32" x14ac:dyDescent="0.3">
      <c r="A3" s="82" t="s">
        <v>23</v>
      </c>
      <c r="B3" s="82" t="s">
        <v>0</v>
      </c>
      <c r="C3" s="80" t="s">
        <v>25</v>
      </c>
      <c r="D3" s="81"/>
      <c r="E3" s="81"/>
      <c r="F3" s="81"/>
      <c r="G3" s="81"/>
      <c r="H3" s="81"/>
      <c r="I3" s="81"/>
      <c r="J3" s="80" t="s">
        <v>26</v>
      </c>
      <c r="K3" s="81"/>
      <c r="L3" s="81"/>
      <c r="M3" s="81"/>
      <c r="N3" s="81"/>
      <c r="O3" s="81"/>
      <c r="P3" s="81"/>
      <c r="Q3" s="80" t="s">
        <v>27</v>
      </c>
      <c r="R3" s="81"/>
      <c r="S3" s="81"/>
      <c r="T3" s="81"/>
      <c r="U3" s="81"/>
      <c r="V3" s="81"/>
      <c r="W3" s="81"/>
      <c r="X3" s="82" t="s">
        <v>28</v>
      </c>
      <c r="Y3" s="82"/>
      <c r="Z3" s="82"/>
      <c r="AA3" s="82"/>
      <c r="AB3" s="82"/>
      <c r="AC3" s="82"/>
      <c r="AD3" s="82"/>
      <c r="AE3" s="85" t="s">
        <v>32</v>
      </c>
      <c r="AF3" s="85" t="s">
        <v>5</v>
      </c>
    </row>
    <row r="4" spans="1:32" x14ac:dyDescent="0.3">
      <c r="A4" s="82"/>
      <c r="B4" s="82"/>
      <c r="C4" s="83" t="s">
        <v>24</v>
      </c>
      <c r="D4" s="83"/>
      <c r="E4" s="83"/>
      <c r="F4" s="83" t="s">
        <v>21</v>
      </c>
      <c r="G4" s="83"/>
      <c r="H4" s="83"/>
      <c r="I4" s="84" t="s">
        <v>31</v>
      </c>
      <c r="J4" s="83" t="s">
        <v>24</v>
      </c>
      <c r="K4" s="83"/>
      <c r="L4" s="83"/>
      <c r="M4" s="83" t="s">
        <v>21</v>
      </c>
      <c r="N4" s="83"/>
      <c r="O4" s="83"/>
      <c r="P4" s="84" t="s">
        <v>31</v>
      </c>
      <c r="Q4" s="83" t="s">
        <v>24</v>
      </c>
      <c r="R4" s="83"/>
      <c r="S4" s="83"/>
      <c r="T4" s="83" t="s">
        <v>21</v>
      </c>
      <c r="U4" s="83"/>
      <c r="V4" s="83"/>
      <c r="W4" s="84" t="s">
        <v>31</v>
      </c>
      <c r="X4" s="83" t="s">
        <v>24</v>
      </c>
      <c r="Y4" s="83"/>
      <c r="Z4" s="83"/>
      <c r="AA4" s="83" t="s">
        <v>21</v>
      </c>
      <c r="AB4" s="83"/>
      <c r="AC4" s="83"/>
      <c r="AD4" s="84" t="s">
        <v>31</v>
      </c>
      <c r="AE4" s="85"/>
      <c r="AF4" s="85"/>
    </row>
    <row r="5" spans="1:32" ht="20.399999999999999" x14ac:dyDescent="0.3">
      <c r="A5" s="82"/>
      <c r="B5" s="82"/>
      <c r="C5" s="20" t="s">
        <v>19</v>
      </c>
      <c r="D5" s="20" t="s">
        <v>20</v>
      </c>
      <c r="E5" s="20" t="s">
        <v>29</v>
      </c>
      <c r="F5" s="20" t="s">
        <v>19</v>
      </c>
      <c r="G5" s="20" t="s">
        <v>20</v>
      </c>
      <c r="H5" s="20" t="s">
        <v>30</v>
      </c>
      <c r="I5" s="84"/>
      <c r="J5" s="20" t="s">
        <v>19</v>
      </c>
      <c r="K5" s="20" t="s">
        <v>20</v>
      </c>
      <c r="L5" s="20" t="s">
        <v>29</v>
      </c>
      <c r="M5" s="20" t="s">
        <v>19</v>
      </c>
      <c r="N5" s="20" t="s">
        <v>20</v>
      </c>
      <c r="O5" s="20" t="s">
        <v>30</v>
      </c>
      <c r="P5" s="84"/>
      <c r="Q5" s="20" t="s">
        <v>19</v>
      </c>
      <c r="R5" s="20" t="s">
        <v>20</v>
      </c>
      <c r="S5" s="20" t="s">
        <v>29</v>
      </c>
      <c r="T5" s="20" t="s">
        <v>19</v>
      </c>
      <c r="U5" s="20" t="s">
        <v>20</v>
      </c>
      <c r="V5" s="20" t="s">
        <v>30</v>
      </c>
      <c r="W5" s="84"/>
      <c r="X5" s="20" t="s">
        <v>19</v>
      </c>
      <c r="Y5" s="20" t="s">
        <v>20</v>
      </c>
      <c r="Z5" s="20" t="s">
        <v>29</v>
      </c>
      <c r="AA5" s="20" t="s">
        <v>19</v>
      </c>
      <c r="AB5" s="20" t="s">
        <v>20</v>
      </c>
      <c r="AC5" s="20" t="s">
        <v>30</v>
      </c>
      <c r="AD5" s="84"/>
      <c r="AE5" s="85"/>
      <c r="AF5" s="85"/>
    </row>
    <row r="6" spans="1:32" x14ac:dyDescent="0.3">
      <c r="A6" s="23">
        <v>1</v>
      </c>
      <c r="B6" s="24">
        <v>44562</v>
      </c>
      <c r="C6" s="23">
        <v>866025.6</v>
      </c>
      <c r="D6" s="23">
        <v>879825.3</v>
      </c>
      <c r="E6" s="23">
        <f>(D6-C6)*600</f>
        <v>8279820.0000000419</v>
      </c>
      <c r="F6" s="23">
        <v>6417</v>
      </c>
      <c r="G6" s="23">
        <v>6545.6</v>
      </c>
      <c r="H6" s="23">
        <f>(G6-F6)*600</f>
        <v>77160.000000000218</v>
      </c>
      <c r="I6" s="23">
        <f t="shared" ref="I6:I17" si="0">E6-H6</f>
        <v>8202660.0000000419</v>
      </c>
      <c r="J6" s="23">
        <v>899629.8</v>
      </c>
      <c r="K6" s="23">
        <v>913296.8</v>
      </c>
      <c r="L6" s="23">
        <f>(K6-J6)*600</f>
        <v>8200200</v>
      </c>
      <c r="M6" s="23">
        <v>5975.7</v>
      </c>
      <c r="N6" s="23">
        <v>6062.7</v>
      </c>
      <c r="O6" s="23">
        <f>(N6-M6)*600</f>
        <v>52200</v>
      </c>
      <c r="P6" s="23">
        <f t="shared" ref="P6:P17" si="1">L6-O6</f>
        <v>8148000</v>
      </c>
      <c r="Q6" s="23">
        <v>789559.2</v>
      </c>
      <c r="R6" s="23">
        <v>802879.8</v>
      </c>
      <c r="S6" s="23">
        <f>(R6-Q6)*600</f>
        <v>7992360.0000000559</v>
      </c>
      <c r="T6" s="23">
        <v>4726.1000000000004</v>
      </c>
      <c r="U6" s="23">
        <v>4821.1000000000004</v>
      </c>
      <c r="V6" s="23">
        <f>(U6-T6)*600</f>
        <v>57000</v>
      </c>
      <c r="W6" s="23">
        <f t="shared" ref="W6:W17" si="2">S6-V6</f>
        <v>7935360.0000000559</v>
      </c>
      <c r="X6" s="23">
        <v>904688.7</v>
      </c>
      <c r="Y6" s="23">
        <v>919169.5</v>
      </c>
      <c r="Z6" s="23">
        <f>(Y6-X6)*600</f>
        <v>8688480.0000000279</v>
      </c>
      <c r="AA6" s="23">
        <v>4621.5</v>
      </c>
      <c r="AB6" s="23">
        <v>4703.3999999999996</v>
      </c>
      <c r="AC6" s="23">
        <f t="shared" ref="AC6:AC17" si="3">(AB6-AA6)*600</f>
        <v>49139.999999999782</v>
      </c>
      <c r="AD6" s="23">
        <f t="shared" ref="AD6:AD17" si="4">Z6-AC6</f>
        <v>8639340.0000000279</v>
      </c>
      <c r="AE6" s="23">
        <f t="shared" ref="AE6:AE17" si="5">I6+P6+W6+AD6</f>
        <v>32925360.000000127</v>
      </c>
      <c r="AF6" s="4">
        <f>AE6/1000</f>
        <v>32925.360000000124</v>
      </c>
    </row>
    <row r="7" spans="1:32" x14ac:dyDescent="0.3">
      <c r="A7" s="23">
        <v>2</v>
      </c>
      <c r="B7" s="24">
        <v>44593</v>
      </c>
      <c r="C7" s="23">
        <v>879825.3</v>
      </c>
      <c r="D7" s="23">
        <v>895183.5</v>
      </c>
      <c r="E7" s="23">
        <f t="shared" ref="E7:E16" si="6">(D7-C7)*600</f>
        <v>9214919.9999999721</v>
      </c>
      <c r="F7" s="23">
        <v>6545.6</v>
      </c>
      <c r="G7" s="23">
        <v>6650.5</v>
      </c>
      <c r="H7" s="23">
        <f t="shared" ref="H7:H16" si="7">(G7-F7)*600</f>
        <v>62939.999999999782</v>
      </c>
      <c r="I7" s="23">
        <f t="shared" si="0"/>
        <v>9151979.9999999721</v>
      </c>
      <c r="J7" s="23">
        <f t="shared" ref="J7:J17" si="8">K6</f>
        <v>913296.8</v>
      </c>
      <c r="K7" s="23">
        <v>928464.8</v>
      </c>
      <c r="L7" s="23">
        <f t="shared" ref="L7:L16" si="9">(K7-J7)*600</f>
        <v>9100800</v>
      </c>
      <c r="M7" s="23">
        <f t="shared" ref="M7:M17" si="10">N6</f>
        <v>6062.7</v>
      </c>
      <c r="N7" s="23">
        <v>6135.5</v>
      </c>
      <c r="O7" s="23">
        <f t="shared" ref="O7:O16" si="11">(N7-M7)*600</f>
        <v>43680.000000000109</v>
      </c>
      <c r="P7" s="23">
        <f t="shared" si="1"/>
        <v>9057120</v>
      </c>
      <c r="Q7" s="23">
        <f t="shared" ref="Q7:Q17" si="12">R6</f>
        <v>802879.8</v>
      </c>
      <c r="R7" s="23">
        <v>817565.5</v>
      </c>
      <c r="S7" s="23">
        <f t="shared" ref="S7:S16" si="13">(R7-Q7)*600</f>
        <v>8811419.9999999721</v>
      </c>
      <c r="T7" s="23">
        <f t="shared" ref="T7:T17" si="14">U6</f>
        <v>4821.1000000000004</v>
      </c>
      <c r="U7" s="23">
        <v>4898.1000000000004</v>
      </c>
      <c r="V7" s="23">
        <f t="shared" ref="V7:V16" si="15">(U7-T7)*600</f>
        <v>46200</v>
      </c>
      <c r="W7" s="23">
        <f t="shared" si="2"/>
        <v>8765219.9999999721</v>
      </c>
      <c r="X7" s="23">
        <f t="shared" ref="X7:X17" si="16">Y6</f>
        <v>919169.5</v>
      </c>
      <c r="Y7" s="23">
        <v>935135.7</v>
      </c>
      <c r="Z7" s="23">
        <f t="shared" ref="Z7:Z17" si="17">(Y7-X7)*600</f>
        <v>9579719.9999999721</v>
      </c>
      <c r="AA7" s="23">
        <f t="shared" ref="AA7:AA17" si="18">AB6</f>
        <v>4703.3999999999996</v>
      </c>
      <c r="AB7" s="23">
        <v>4770.7</v>
      </c>
      <c r="AC7" s="23">
        <f t="shared" si="3"/>
        <v>40380.000000000109</v>
      </c>
      <c r="AD7" s="23">
        <f t="shared" si="4"/>
        <v>9539339.9999999721</v>
      </c>
      <c r="AE7" s="23">
        <f t="shared" si="5"/>
        <v>36513659.999999911</v>
      </c>
      <c r="AF7" s="4">
        <f t="shared" ref="AF7:AF17" si="19">AE7/1000</f>
        <v>36513.659999999909</v>
      </c>
    </row>
    <row r="8" spans="1:32" x14ac:dyDescent="0.3">
      <c r="A8" s="23">
        <v>3</v>
      </c>
      <c r="B8" s="24">
        <v>44621</v>
      </c>
      <c r="C8" s="23">
        <f t="shared" ref="C8:C17" si="20">D7</f>
        <v>895183.5</v>
      </c>
      <c r="D8" s="23">
        <v>912286.3</v>
      </c>
      <c r="E8" s="23">
        <f t="shared" si="6"/>
        <v>10261680.000000028</v>
      </c>
      <c r="F8" s="23">
        <f t="shared" ref="F8:F17" si="21">G7</f>
        <v>6650.5</v>
      </c>
      <c r="G8" s="23">
        <v>6757.1</v>
      </c>
      <c r="H8" s="23">
        <f t="shared" si="7"/>
        <v>63960.000000000218</v>
      </c>
      <c r="I8" s="23">
        <f t="shared" si="0"/>
        <v>10197720.000000028</v>
      </c>
      <c r="J8" s="23">
        <f t="shared" si="8"/>
        <v>928464.8</v>
      </c>
      <c r="K8" s="23">
        <v>945292.1</v>
      </c>
      <c r="L8" s="23">
        <f t="shared" si="9"/>
        <v>10096379.999999959</v>
      </c>
      <c r="M8" s="23">
        <f t="shared" si="10"/>
        <v>6135.5</v>
      </c>
      <c r="N8" s="23">
        <v>6214.8</v>
      </c>
      <c r="O8" s="23">
        <f t="shared" si="11"/>
        <v>47580.000000000109</v>
      </c>
      <c r="P8" s="23">
        <f t="shared" si="1"/>
        <v>10048799.999999959</v>
      </c>
      <c r="Q8" s="23">
        <f t="shared" si="12"/>
        <v>817565.5</v>
      </c>
      <c r="R8" s="23">
        <v>833876.2</v>
      </c>
      <c r="S8" s="23">
        <f t="shared" si="13"/>
        <v>9786419.9999999721</v>
      </c>
      <c r="T8" s="23">
        <f t="shared" si="14"/>
        <v>4898.1000000000004</v>
      </c>
      <c r="U8" s="23">
        <v>4982</v>
      </c>
      <c r="V8" s="23">
        <f t="shared" si="15"/>
        <v>50339.999999999782</v>
      </c>
      <c r="W8" s="23">
        <f t="shared" si="2"/>
        <v>9736079.9999999721</v>
      </c>
      <c r="X8" s="23">
        <f t="shared" si="16"/>
        <v>935135.7</v>
      </c>
      <c r="Y8" s="23">
        <v>952867.3</v>
      </c>
      <c r="Z8" s="23">
        <f>(Y8-X8)*600-17100</f>
        <v>10621860.000000056</v>
      </c>
      <c r="AA8" s="23">
        <f t="shared" si="18"/>
        <v>4770.7</v>
      </c>
      <c r="AB8" s="23">
        <v>4872.3</v>
      </c>
      <c r="AC8" s="23">
        <f>(AB8-AA8)*600-16260</f>
        <v>44700.000000000218</v>
      </c>
      <c r="AD8" s="23">
        <f t="shared" si="4"/>
        <v>10577160.000000056</v>
      </c>
      <c r="AE8" s="23">
        <f t="shared" si="5"/>
        <v>40559760.000000015</v>
      </c>
      <c r="AF8" s="4">
        <f t="shared" si="19"/>
        <v>40559.760000000017</v>
      </c>
    </row>
    <row r="9" spans="1:32" x14ac:dyDescent="0.3">
      <c r="A9" s="23">
        <v>4</v>
      </c>
      <c r="B9" s="24">
        <v>44652</v>
      </c>
      <c r="C9" s="23">
        <f t="shared" si="20"/>
        <v>912286.3</v>
      </c>
      <c r="D9" s="23">
        <v>928397.8</v>
      </c>
      <c r="E9" s="23">
        <f t="shared" si="6"/>
        <v>9666900</v>
      </c>
      <c r="F9" s="23">
        <f t="shared" si="21"/>
        <v>6757.1</v>
      </c>
      <c r="G9" s="23">
        <v>6848.1</v>
      </c>
      <c r="H9" s="23">
        <f t="shared" si="7"/>
        <v>54600</v>
      </c>
      <c r="I9" s="23">
        <f t="shared" si="0"/>
        <v>9612300</v>
      </c>
      <c r="J9" s="23">
        <f t="shared" si="8"/>
        <v>945292.1</v>
      </c>
      <c r="K9" s="23">
        <v>961179.8</v>
      </c>
      <c r="L9" s="23">
        <f t="shared" si="9"/>
        <v>9532620.000000041</v>
      </c>
      <c r="M9" s="23">
        <f t="shared" si="10"/>
        <v>6214.8</v>
      </c>
      <c r="N9" s="23">
        <v>6292.4</v>
      </c>
      <c r="O9" s="23">
        <f t="shared" si="11"/>
        <v>46559.999999999673</v>
      </c>
      <c r="P9" s="23">
        <f t="shared" si="1"/>
        <v>9486060.000000041</v>
      </c>
      <c r="Q9" s="23">
        <f t="shared" si="12"/>
        <v>833876.2</v>
      </c>
      <c r="R9" s="23">
        <v>849311.2</v>
      </c>
      <c r="S9" s="23">
        <f t="shared" si="13"/>
        <v>9261000</v>
      </c>
      <c r="T9" s="23">
        <f t="shared" si="14"/>
        <v>4982</v>
      </c>
      <c r="U9" s="23">
        <v>5065.3</v>
      </c>
      <c r="V9" s="23">
        <f t="shared" si="15"/>
        <v>49980.000000000109</v>
      </c>
      <c r="W9" s="23">
        <f t="shared" si="2"/>
        <v>9211020</v>
      </c>
      <c r="X9" s="23">
        <f t="shared" si="16"/>
        <v>952867.3</v>
      </c>
      <c r="Y9" s="23">
        <v>969419.6</v>
      </c>
      <c r="Z9" s="23">
        <f t="shared" si="17"/>
        <v>9931379.999999959</v>
      </c>
      <c r="AA9" s="23">
        <f t="shared" si="18"/>
        <v>4872.3</v>
      </c>
      <c r="AB9" s="23">
        <v>4944.3</v>
      </c>
      <c r="AC9" s="23">
        <f t="shared" si="3"/>
        <v>43200</v>
      </c>
      <c r="AD9" s="23">
        <f t="shared" si="4"/>
        <v>9888179.999999959</v>
      </c>
      <c r="AE9" s="23">
        <f t="shared" si="5"/>
        <v>38197560</v>
      </c>
      <c r="AF9" s="4">
        <f t="shared" si="19"/>
        <v>38197.56</v>
      </c>
    </row>
    <row r="10" spans="1:32" x14ac:dyDescent="0.3">
      <c r="A10" s="23">
        <v>5</v>
      </c>
      <c r="B10" s="24">
        <v>44682</v>
      </c>
      <c r="C10" s="23">
        <f t="shared" si="20"/>
        <v>928397.8</v>
      </c>
      <c r="D10" s="23">
        <v>944428.1</v>
      </c>
      <c r="E10" s="23">
        <f t="shared" si="6"/>
        <v>9618179.999999959</v>
      </c>
      <c r="F10" s="23">
        <f t="shared" si="21"/>
        <v>6848.1</v>
      </c>
      <c r="G10" s="23">
        <v>6937.1</v>
      </c>
      <c r="H10" s="23">
        <f t="shared" si="7"/>
        <v>53400</v>
      </c>
      <c r="I10" s="23">
        <f t="shared" si="0"/>
        <v>9564779.999999959</v>
      </c>
      <c r="J10" s="23">
        <f t="shared" si="8"/>
        <v>961179.8</v>
      </c>
      <c r="K10" s="23">
        <v>977335</v>
      </c>
      <c r="L10" s="23">
        <f t="shared" si="9"/>
        <v>9693119.9999999721</v>
      </c>
      <c r="M10" s="23">
        <f t="shared" si="10"/>
        <v>6292.4</v>
      </c>
      <c r="N10" s="23">
        <v>6366.1</v>
      </c>
      <c r="O10" s="23">
        <f t="shared" si="11"/>
        <v>44220.000000000437</v>
      </c>
      <c r="P10" s="23">
        <f t="shared" si="1"/>
        <v>9648899.9999999721</v>
      </c>
      <c r="Q10" s="23">
        <f t="shared" si="12"/>
        <v>849311.2</v>
      </c>
      <c r="R10" s="23">
        <v>864611.4</v>
      </c>
      <c r="S10" s="23">
        <f t="shared" si="13"/>
        <v>9180120.000000041</v>
      </c>
      <c r="T10" s="23">
        <f t="shared" si="14"/>
        <v>5065.3</v>
      </c>
      <c r="U10" s="23">
        <v>5143.3</v>
      </c>
      <c r="V10" s="23">
        <f t="shared" si="15"/>
        <v>46800</v>
      </c>
      <c r="W10" s="23">
        <f t="shared" si="2"/>
        <v>9133320.000000041</v>
      </c>
      <c r="X10" s="23">
        <f t="shared" si="16"/>
        <v>969419.6</v>
      </c>
      <c r="Y10" s="23">
        <v>985246.6</v>
      </c>
      <c r="Z10" s="23">
        <f t="shared" si="17"/>
        <v>9496200</v>
      </c>
      <c r="AA10" s="23">
        <f t="shared" si="18"/>
        <v>4944.3</v>
      </c>
      <c r="AB10" s="23">
        <v>5009.8</v>
      </c>
      <c r="AC10" s="23">
        <f t="shared" si="3"/>
        <v>39300</v>
      </c>
      <c r="AD10" s="23">
        <f t="shared" si="4"/>
        <v>9456900</v>
      </c>
      <c r="AE10" s="23">
        <f t="shared" si="5"/>
        <v>37803899.99999997</v>
      </c>
      <c r="AF10" s="4">
        <f t="shared" si="19"/>
        <v>37803.899999999972</v>
      </c>
    </row>
    <row r="11" spans="1:32" x14ac:dyDescent="0.3">
      <c r="A11" s="23">
        <v>6</v>
      </c>
      <c r="B11" s="24">
        <v>44713</v>
      </c>
      <c r="C11" s="23">
        <f t="shared" si="20"/>
        <v>944428.1</v>
      </c>
      <c r="D11" s="23">
        <v>959719.8</v>
      </c>
      <c r="E11" s="23">
        <f t="shared" si="6"/>
        <v>9175020.000000041</v>
      </c>
      <c r="F11" s="23">
        <f t="shared" si="21"/>
        <v>6937.1</v>
      </c>
      <c r="G11" s="23">
        <v>7022.8</v>
      </c>
      <c r="H11" s="23">
        <f t="shared" si="7"/>
        <v>51419.999999999891</v>
      </c>
      <c r="I11" s="23">
        <f t="shared" si="0"/>
        <v>9123600.000000041</v>
      </c>
      <c r="J11" s="23">
        <f t="shared" si="8"/>
        <v>977335</v>
      </c>
      <c r="K11" s="23">
        <v>992877.1</v>
      </c>
      <c r="L11" s="23">
        <f t="shared" si="9"/>
        <v>9325259.9999999851</v>
      </c>
      <c r="M11" s="23">
        <f t="shared" si="10"/>
        <v>6366.1</v>
      </c>
      <c r="N11" s="23">
        <v>6439.3</v>
      </c>
      <c r="O11" s="23">
        <f t="shared" si="11"/>
        <v>43919.999999999891</v>
      </c>
      <c r="P11" s="23">
        <f t="shared" si="1"/>
        <v>9281339.9999999851</v>
      </c>
      <c r="Q11" s="23">
        <f t="shared" si="12"/>
        <v>864611.4</v>
      </c>
      <c r="R11" s="23">
        <v>879714</v>
      </c>
      <c r="S11" s="23">
        <f t="shared" si="13"/>
        <v>9061559.9999999851</v>
      </c>
      <c r="T11" s="23">
        <f t="shared" si="14"/>
        <v>5143.3</v>
      </c>
      <c r="U11" s="23">
        <v>5219.3999999999996</v>
      </c>
      <c r="V11" s="23">
        <f t="shared" si="15"/>
        <v>45659.999999999673</v>
      </c>
      <c r="W11" s="23">
        <f t="shared" si="2"/>
        <v>9015899.9999999851</v>
      </c>
      <c r="X11" s="23">
        <f t="shared" si="16"/>
        <v>985246.6</v>
      </c>
      <c r="Y11" s="23">
        <v>1001139</v>
      </c>
      <c r="Z11" s="23">
        <f t="shared" si="17"/>
        <v>9535440.0000000149</v>
      </c>
      <c r="AA11" s="23">
        <f t="shared" si="18"/>
        <v>5009.8</v>
      </c>
      <c r="AB11" s="23">
        <v>5069</v>
      </c>
      <c r="AC11" s="23">
        <f t="shared" si="3"/>
        <v>35519.999999999891</v>
      </c>
      <c r="AD11" s="23">
        <f t="shared" si="4"/>
        <v>9499920.0000000149</v>
      </c>
      <c r="AE11" s="23">
        <f t="shared" si="5"/>
        <v>36920760.00000003</v>
      </c>
      <c r="AF11" s="4">
        <f t="shared" si="19"/>
        <v>36920.760000000031</v>
      </c>
    </row>
    <row r="12" spans="1:32" x14ac:dyDescent="0.3">
      <c r="A12" s="23">
        <v>7</v>
      </c>
      <c r="B12" s="24">
        <v>44743</v>
      </c>
      <c r="C12" s="23">
        <f t="shared" si="20"/>
        <v>959719.8</v>
      </c>
      <c r="D12" s="23">
        <v>973031.5</v>
      </c>
      <c r="E12" s="23">
        <f t="shared" si="6"/>
        <v>7987019.9999999721</v>
      </c>
      <c r="F12" s="23">
        <f t="shared" si="21"/>
        <v>7022.8</v>
      </c>
      <c r="G12" s="23">
        <v>7115</v>
      </c>
      <c r="H12" s="23">
        <f t="shared" si="7"/>
        <v>55319.999999999891</v>
      </c>
      <c r="I12" s="23">
        <f t="shared" si="0"/>
        <v>7931699.9999999721</v>
      </c>
      <c r="J12" s="23">
        <f t="shared" si="8"/>
        <v>992877.1</v>
      </c>
      <c r="K12" s="23">
        <v>1005668.5</v>
      </c>
      <c r="L12" s="23">
        <f t="shared" si="9"/>
        <v>7674840.000000014</v>
      </c>
      <c r="M12" s="23">
        <f t="shared" si="10"/>
        <v>6439.3</v>
      </c>
      <c r="N12" s="23">
        <v>6514.3</v>
      </c>
      <c r="O12" s="23">
        <f t="shared" si="11"/>
        <v>45000</v>
      </c>
      <c r="P12" s="23">
        <f t="shared" si="1"/>
        <v>7629840.000000014</v>
      </c>
      <c r="Q12" s="23">
        <f t="shared" si="12"/>
        <v>879714</v>
      </c>
      <c r="R12" s="23">
        <v>892395.4</v>
      </c>
      <c r="S12" s="23">
        <f t="shared" si="13"/>
        <v>7608840.000000014</v>
      </c>
      <c r="T12" s="23">
        <f t="shared" si="14"/>
        <v>5219.3999999999996</v>
      </c>
      <c r="U12" s="23">
        <v>5301.3</v>
      </c>
      <c r="V12" s="23">
        <f t="shared" si="15"/>
        <v>49140.000000000327</v>
      </c>
      <c r="W12" s="23">
        <f t="shared" si="2"/>
        <v>7559700.000000014</v>
      </c>
      <c r="X12" s="23">
        <f t="shared" si="16"/>
        <v>1001139</v>
      </c>
      <c r="Y12" s="23">
        <v>1014746.6</v>
      </c>
      <c r="Z12" s="23">
        <f t="shared" si="17"/>
        <v>8164559.999999986</v>
      </c>
      <c r="AA12" s="23">
        <f t="shared" si="18"/>
        <v>5069</v>
      </c>
      <c r="AB12" s="23">
        <v>5133.7</v>
      </c>
      <c r="AC12" s="23">
        <f t="shared" si="3"/>
        <v>38819.999999999891</v>
      </c>
      <c r="AD12" s="23">
        <f t="shared" si="4"/>
        <v>8125739.999999986</v>
      </c>
      <c r="AE12" s="23">
        <f t="shared" si="5"/>
        <v>31246979.999999985</v>
      </c>
      <c r="AF12" s="4">
        <f t="shared" si="19"/>
        <v>31246.979999999985</v>
      </c>
    </row>
    <row r="13" spans="1:32" x14ac:dyDescent="0.3">
      <c r="A13" s="23">
        <v>8</v>
      </c>
      <c r="B13" s="24">
        <v>44774</v>
      </c>
      <c r="C13" s="23">
        <f t="shared" si="20"/>
        <v>973031.5</v>
      </c>
      <c r="D13" s="23">
        <v>986790.7</v>
      </c>
      <c r="E13" s="23">
        <f t="shared" si="6"/>
        <v>8255519.9999999721</v>
      </c>
      <c r="F13" s="23">
        <f t="shared" si="21"/>
        <v>7115</v>
      </c>
      <c r="G13" s="23">
        <v>7211.5</v>
      </c>
      <c r="H13" s="23">
        <f t="shared" si="7"/>
        <v>57900</v>
      </c>
      <c r="I13" s="23">
        <f t="shared" si="0"/>
        <v>8197619.9999999721</v>
      </c>
      <c r="J13" s="23">
        <f t="shared" si="8"/>
        <v>1005668.5</v>
      </c>
      <c r="K13" s="23">
        <v>1018905.5</v>
      </c>
      <c r="L13" s="23">
        <f t="shared" si="9"/>
        <v>7942200</v>
      </c>
      <c r="M13" s="23">
        <f t="shared" si="10"/>
        <v>6514.3</v>
      </c>
      <c r="N13" s="23">
        <v>6590.3</v>
      </c>
      <c r="O13" s="23">
        <f t="shared" si="11"/>
        <v>45600</v>
      </c>
      <c r="P13" s="23">
        <f t="shared" si="1"/>
        <v>7896600</v>
      </c>
      <c r="Q13" s="23">
        <f t="shared" si="12"/>
        <v>892395.4</v>
      </c>
      <c r="R13" s="23">
        <v>905637</v>
      </c>
      <c r="S13" s="23">
        <f t="shared" si="13"/>
        <v>7944959.999999986</v>
      </c>
      <c r="T13" s="23">
        <f t="shared" si="14"/>
        <v>5301.3</v>
      </c>
      <c r="U13" s="23">
        <v>5383.8</v>
      </c>
      <c r="V13" s="23">
        <f t="shared" si="15"/>
        <v>49500</v>
      </c>
      <c r="W13" s="23">
        <f t="shared" si="2"/>
        <v>7895459.999999986</v>
      </c>
      <c r="X13" s="23">
        <f t="shared" si="16"/>
        <v>1014746.6</v>
      </c>
      <c r="Y13" s="23">
        <v>1029011.3</v>
      </c>
      <c r="Z13" s="23">
        <f t="shared" si="17"/>
        <v>8558820.000000041</v>
      </c>
      <c r="AA13" s="23">
        <f t="shared" si="18"/>
        <v>5133.7</v>
      </c>
      <c r="AB13" s="23">
        <v>5201.2</v>
      </c>
      <c r="AC13" s="23">
        <f t="shared" si="3"/>
        <v>40500</v>
      </c>
      <c r="AD13" s="23">
        <f t="shared" si="4"/>
        <v>8518320.000000041</v>
      </c>
      <c r="AE13" s="23">
        <f t="shared" si="5"/>
        <v>32508000</v>
      </c>
      <c r="AF13" s="4">
        <f t="shared" si="19"/>
        <v>32508</v>
      </c>
    </row>
    <row r="14" spans="1:32" x14ac:dyDescent="0.3">
      <c r="A14" s="23">
        <v>9</v>
      </c>
      <c r="B14" s="24">
        <v>44805</v>
      </c>
      <c r="C14" s="23">
        <f t="shared" si="20"/>
        <v>986790.7</v>
      </c>
      <c r="D14" s="23">
        <v>1002544.6</v>
      </c>
      <c r="E14" s="23">
        <f t="shared" si="6"/>
        <v>9452340.0000000149</v>
      </c>
      <c r="F14" s="23">
        <f t="shared" si="21"/>
        <v>7211.5</v>
      </c>
      <c r="G14" s="23">
        <v>7305.7</v>
      </c>
      <c r="H14" s="23">
        <f t="shared" si="7"/>
        <v>56519.999999999891</v>
      </c>
      <c r="I14" s="23">
        <f t="shared" si="0"/>
        <v>9395820.0000000149</v>
      </c>
      <c r="J14" s="23">
        <f t="shared" si="8"/>
        <v>1018905.5</v>
      </c>
      <c r="K14" s="23">
        <v>1033904.6</v>
      </c>
      <c r="L14" s="23">
        <f t="shared" si="9"/>
        <v>8999459.9999999851</v>
      </c>
      <c r="M14" s="23">
        <f t="shared" si="10"/>
        <v>6590.3</v>
      </c>
      <c r="N14" s="23">
        <v>6663.5</v>
      </c>
      <c r="O14" s="23">
        <f t="shared" si="11"/>
        <v>43919.999999999891</v>
      </c>
      <c r="P14" s="23">
        <f t="shared" si="1"/>
        <v>8955539.9999999851</v>
      </c>
      <c r="Q14" s="23">
        <f t="shared" si="12"/>
        <v>905637</v>
      </c>
      <c r="R14" s="23">
        <v>920448.3</v>
      </c>
      <c r="S14" s="23">
        <f t="shared" si="13"/>
        <v>8886780.0000000279</v>
      </c>
      <c r="T14" s="23">
        <f t="shared" si="14"/>
        <v>5383.8</v>
      </c>
      <c r="U14" s="23">
        <v>5464.3</v>
      </c>
      <c r="V14" s="23">
        <f t="shared" si="15"/>
        <v>48300</v>
      </c>
      <c r="W14" s="23">
        <f t="shared" si="2"/>
        <v>8838480.0000000279</v>
      </c>
      <c r="X14" s="23">
        <f t="shared" si="16"/>
        <v>1029011.3</v>
      </c>
      <c r="Y14" s="23">
        <v>1045056.2</v>
      </c>
      <c r="Z14" s="23">
        <f t="shared" si="17"/>
        <v>9626939.9999999441</v>
      </c>
      <c r="AA14" s="23">
        <f t="shared" si="18"/>
        <v>5201.2</v>
      </c>
      <c r="AB14" s="23">
        <v>5267.1</v>
      </c>
      <c r="AC14" s="23">
        <f t="shared" si="3"/>
        <v>39540.000000000327</v>
      </c>
      <c r="AD14" s="23">
        <f t="shared" si="4"/>
        <v>9587399.9999999441</v>
      </c>
      <c r="AE14" s="23">
        <f t="shared" si="5"/>
        <v>36777239.99999997</v>
      </c>
      <c r="AF14" s="4">
        <f t="shared" si="19"/>
        <v>36777.239999999969</v>
      </c>
    </row>
    <row r="15" spans="1:32" x14ac:dyDescent="0.3">
      <c r="A15" s="23">
        <v>10</v>
      </c>
      <c r="B15" s="24">
        <v>44835</v>
      </c>
      <c r="C15" s="23">
        <f t="shared" si="20"/>
        <v>1002544.6</v>
      </c>
      <c r="D15" s="23">
        <v>1018918.3</v>
      </c>
      <c r="E15" s="23">
        <f t="shared" si="6"/>
        <v>9824220.000000041</v>
      </c>
      <c r="F15" s="23">
        <f t="shared" si="21"/>
        <v>7305.7</v>
      </c>
      <c r="G15" s="23">
        <v>7408.3</v>
      </c>
      <c r="H15" s="23">
        <f t="shared" si="7"/>
        <v>61560.000000000218</v>
      </c>
      <c r="I15" s="23">
        <f t="shared" si="0"/>
        <v>9762660.000000041</v>
      </c>
      <c r="J15" s="23">
        <f t="shared" si="8"/>
        <v>1033904.6</v>
      </c>
      <c r="K15" s="23">
        <v>1049810.3</v>
      </c>
      <c r="L15" s="23">
        <f t="shared" si="9"/>
        <v>9543420.000000041</v>
      </c>
      <c r="M15" s="23">
        <f t="shared" si="10"/>
        <v>6663.5</v>
      </c>
      <c r="N15" s="23">
        <v>6742.1</v>
      </c>
      <c r="O15" s="23">
        <f t="shared" si="11"/>
        <v>47160.000000000218</v>
      </c>
      <c r="P15" s="23">
        <f t="shared" si="1"/>
        <v>9496260.000000041</v>
      </c>
      <c r="Q15" s="23">
        <f t="shared" si="12"/>
        <v>920448.3</v>
      </c>
      <c r="R15" s="23">
        <v>936171.7</v>
      </c>
      <c r="S15" s="23">
        <f t="shared" si="13"/>
        <v>9434039.9999999441</v>
      </c>
      <c r="T15" s="23">
        <f t="shared" si="14"/>
        <v>5464.3</v>
      </c>
      <c r="U15" s="23">
        <v>5555</v>
      </c>
      <c r="V15" s="23">
        <f t="shared" si="15"/>
        <v>54419.999999999891</v>
      </c>
      <c r="W15" s="23">
        <f t="shared" si="2"/>
        <v>9379619.9999999441</v>
      </c>
      <c r="X15" s="23">
        <f t="shared" si="16"/>
        <v>1045056.2</v>
      </c>
      <c r="Y15" s="23">
        <v>1062331.8</v>
      </c>
      <c r="Z15" s="23">
        <f t="shared" si="17"/>
        <v>10365360.000000056</v>
      </c>
      <c r="AA15" s="23">
        <f t="shared" si="18"/>
        <v>5267.1</v>
      </c>
      <c r="AB15" s="23">
        <v>5338.4</v>
      </c>
      <c r="AC15" s="23">
        <f t="shared" si="3"/>
        <v>42779.999999999563</v>
      </c>
      <c r="AD15" s="23">
        <f t="shared" si="4"/>
        <v>10322580.000000056</v>
      </c>
      <c r="AE15" s="23">
        <f t="shared" si="5"/>
        <v>38961120.000000082</v>
      </c>
      <c r="AF15" s="4">
        <f t="shared" si="19"/>
        <v>38961.120000000083</v>
      </c>
    </row>
    <row r="16" spans="1:32" x14ac:dyDescent="0.3">
      <c r="A16" s="23">
        <v>11</v>
      </c>
      <c r="B16" s="24">
        <v>44866</v>
      </c>
      <c r="C16" s="23">
        <f t="shared" si="20"/>
        <v>1018918.3</v>
      </c>
      <c r="D16" s="23">
        <v>1032748.8</v>
      </c>
      <c r="E16" s="23">
        <f t="shared" si="6"/>
        <v>8298300</v>
      </c>
      <c r="F16" s="23">
        <f t="shared" si="21"/>
        <v>7408.3</v>
      </c>
      <c r="G16" s="23">
        <v>7522.4</v>
      </c>
      <c r="H16" s="23">
        <f t="shared" si="7"/>
        <v>68459.99999999968</v>
      </c>
      <c r="I16" s="23">
        <f t="shared" si="0"/>
        <v>8229840</v>
      </c>
      <c r="J16" s="23">
        <f t="shared" si="8"/>
        <v>1049810.3</v>
      </c>
      <c r="K16" s="23">
        <v>1063769.5</v>
      </c>
      <c r="L16" s="23">
        <f t="shared" si="9"/>
        <v>8375519.9999999721</v>
      </c>
      <c r="M16" s="23">
        <f t="shared" si="10"/>
        <v>6742.1</v>
      </c>
      <c r="N16" s="23">
        <v>6823</v>
      </c>
      <c r="O16" s="23">
        <f t="shared" si="11"/>
        <v>48539.999999999782</v>
      </c>
      <c r="P16" s="23">
        <f t="shared" si="1"/>
        <v>8326979.9999999721</v>
      </c>
      <c r="Q16" s="23">
        <f t="shared" si="12"/>
        <v>936171.7</v>
      </c>
      <c r="R16" s="23">
        <v>949795</v>
      </c>
      <c r="S16" s="23">
        <f t="shared" si="13"/>
        <v>8173980.0000000279</v>
      </c>
      <c r="T16" s="23">
        <f t="shared" si="14"/>
        <v>5555</v>
      </c>
      <c r="U16" s="23">
        <v>5648.8</v>
      </c>
      <c r="V16" s="23">
        <f t="shared" si="15"/>
        <v>56280.000000000109</v>
      </c>
      <c r="W16" s="23">
        <f t="shared" si="2"/>
        <v>8117700.0000000279</v>
      </c>
      <c r="X16" s="23">
        <f t="shared" si="16"/>
        <v>1062331.8</v>
      </c>
      <c r="Y16" s="23">
        <v>1077276.2</v>
      </c>
      <c r="Z16" s="23">
        <f t="shared" si="17"/>
        <v>8966639.9999999441</v>
      </c>
      <c r="AA16" s="23">
        <f t="shared" si="18"/>
        <v>5338.4</v>
      </c>
      <c r="AB16" s="23">
        <v>5414.6</v>
      </c>
      <c r="AC16" s="23">
        <f t="shared" si="3"/>
        <v>45720.000000000437</v>
      </c>
      <c r="AD16" s="23">
        <f t="shared" si="4"/>
        <v>8920919.9999999441</v>
      </c>
      <c r="AE16" s="23">
        <f t="shared" si="5"/>
        <v>33595439.99999994</v>
      </c>
      <c r="AF16" s="4">
        <f t="shared" si="19"/>
        <v>33595.439999999937</v>
      </c>
    </row>
    <row r="17" spans="1:32" x14ac:dyDescent="0.3">
      <c r="A17" s="23">
        <v>12</v>
      </c>
      <c r="B17" s="24">
        <v>44896</v>
      </c>
      <c r="C17" s="23">
        <f t="shared" si="20"/>
        <v>1032748.8</v>
      </c>
      <c r="D17" s="23">
        <v>1047204.6</v>
      </c>
      <c r="E17" s="23">
        <f>(D17-C17)*600-27840</f>
        <v>8645639.999999959</v>
      </c>
      <c r="F17" s="23">
        <f t="shared" si="21"/>
        <v>7522.4</v>
      </c>
      <c r="G17" s="23">
        <v>7672.4</v>
      </c>
      <c r="H17" s="23">
        <f>(G17-F17)*600-16260</f>
        <v>73740</v>
      </c>
      <c r="I17" s="23">
        <f t="shared" si="0"/>
        <v>8571899.999999959</v>
      </c>
      <c r="J17" s="23">
        <f t="shared" si="8"/>
        <v>1063769.5</v>
      </c>
      <c r="K17" s="23">
        <v>1078340.2</v>
      </c>
      <c r="L17" s="23">
        <f>(K17-J17)*600-16080</f>
        <v>8726339.9999999721</v>
      </c>
      <c r="M17" s="23">
        <f t="shared" si="10"/>
        <v>6823</v>
      </c>
      <c r="N17" s="23">
        <v>6933.4</v>
      </c>
      <c r="O17" s="23">
        <f>(N17-M17)*600-17820</f>
        <v>48419.999999999782</v>
      </c>
      <c r="P17" s="23">
        <f t="shared" si="1"/>
        <v>8677919.9999999721</v>
      </c>
      <c r="Q17" s="23">
        <f t="shared" si="12"/>
        <v>949795</v>
      </c>
      <c r="R17" s="23">
        <v>964057.59999999998</v>
      </c>
      <c r="S17" s="23">
        <f>(R17-Q17)*600-17820</f>
        <v>8539739.9999999851</v>
      </c>
      <c r="T17" s="23">
        <f t="shared" si="14"/>
        <v>5648.8</v>
      </c>
      <c r="U17" s="23">
        <v>5770.2</v>
      </c>
      <c r="V17" s="23">
        <f>(U17-T17)*600-16080</f>
        <v>56759.999999999782</v>
      </c>
      <c r="W17" s="23">
        <f t="shared" si="2"/>
        <v>8482979.9999999851</v>
      </c>
      <c r="X17" s="23">
        <f t="shared" si="16"/>
        <v>1077276.2</v>
      </c>
      <c r="Y17" s="23">
        <v>1093025.3</v>
      </c>
      <c r="Z17" s="23">
        <f t="shared" si="17"/>
        <v>9449460.0000000559</v>
      </c>
      <c r="AA17" s="23">
        <f t="shared" si="18"/>
        <v>5414.6</v>
      </c>
      <c r="AB17" s="23">
        <v>5493.2</v>
      </c>
      <c r="AC17" s="23">
        <f t="shared" si="3"/>
        <v>47159.999999999673</v>
      </c>
      <c r="AD17" s="23">
        <f t="shared" si="4"/>
        <v>9402300.0000000559</v>
      </c>
      <c r="AE17" s="23">
        <f t="shared" si="5"/>
        <v>35135099.99999997</v>
      </c>
      <c r="AF17" s="4">
        <f t="shared" si="19"/>
        <v>35135.099999999969</v>
      </c>
    </row>
    <row r="18" spans="1:32" s="1" customFormat="1" x14ac:dyDescent="0.3">
      <c r="A18" s="26" t="s">
        <v>1</v>
      </c>
      <c r="B18" s="25"/>
      <c r="C18" s="25"/>
      <c r="D18" s="25"/>
      <c r="E18" s="25"/>
      <c r="F18" s="25"/>
      <c r="G18" s="25"/>
      <c r="H18" s="25"/>
      <c r="I18" s="25">
        <f>SUM(I6:I17)</f>
        <v>107942580</v>
      </c>
      <c r="J18" s="25"/>
      <c r="K18" s="25"/>
      <c r="L18" s="25"/>
      <c r="M18" s="25"/>
      <c r="N18" s="25"/>
      <c r="O18" s="25"/>
      <c r="P18" s="25">
        <f>SUM(P6:P17)</f>
        <v>106653359.99999994</v>
      </c>
      <c r="Q18" s="25"/>
      <c r="R18" s="25"/>
      <c r="S18" s="25"/>
      <c r="T18" s="25"/>
      <c r="U18" s="25"/>
      <c r="V18" s="25"/>
      <c r="W18" s="25">
        <f>SUM(W6:W17)</f>
        <v>104070840.00000001</v>
      </c>
      <c r="X18" s="25"/>
      <c r="Y18" s="25"/>
      <c r="Z18" s="25"/>
      <c r="AA18" s="25"/>
      <c r="AB18" s="25"/>
      <c r="AC18" s="25"/>
      <c r="AD18" s="25">
        <f>SUM(AD6:AD17)</f>
        <v>112478100.00000006</v>
      </c>
      <c r="AE18" s="25">
        <f>SUM(AE6:AE17)</f>
        <v>431144880</v>
      </c>
      <c r="AF18" s="51">
        <f>SUM(AF6:AF17)</f>
        <v>431144.88</v>
      </c>
    </row>
    <row r="19" spans="1:32" x14ac:dyDescent="0.3">
      <c r="A19" s="16"/>
    </row>
    <row r="20" spans="1:32" x14ac:dyDescent="0.3">
      <c r="A20" s="16"/>
    </row>
    <row r="21" spans="1:32" x14ac:dyDescent="0.3">
      <c r="A21" s="16"/>
      <c r="E21" s="13"/>
    </row>
    <row r="22" spans="1:32" x14ac:dyDescent="0.3">
      <c r="A22" s="16"/>
    </row>
    <row r="23" spans="1:32" x14ac:dyDescent="0.3">
      <c r="A23" s="16"/>
    </row>
  </sheetData>
  <mergeCells count="21">
    <mergeCell ref="W4:W5"/>
    <mergeCell ref="X3:AD3"/>
    <mergeCell ref="X4:Z4"/>
    <mergeCell ref="AA4:AC4"/>
    <mergeCell ref="AD4:AD5"/>
    <mergeCell ref="A2:AF2"/>
    <mergeCell ref="C3:I3"/>
    <mergeCell ref="J3:P3"/>
    <mergeCell ref="Q3:W3"/>
    <mergeCell ref="B3:B5"/>
    <mergeCell ref="J4:L4"/>
    <mergeCell ref="M4:O4"/>
    <mergeCell ref="P4:P5"/>
    <mergeCell ref="C4:E4"/>
    <mergeCell ref="F4:H4"/>
    <mergeCell ref="I4:I5"/>
    <mergeCell ref="A3:A5"/>
    <mergeCell ref="AF3:AF5"/>
    <mergeCell ref="AE3:AE5"/>
    <mergeCell ref="Q4:S4"/>
    <mergeCell ref="T4:V4"/>
  </mergeCells>
  <pageMargins left="0.7" right="0.7" top="0.75" bottom="0.75" header="0.3" footer="0.3"/>
  <pageSetup orientation="portrait" r:id="rId1"/>
  <ignoredErrors>
    <ignoredError sqref="Z8 AC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7557-A3C6-40EE-981D-F0E1CE6E8B91}">
  <sheetPr codeName="Sheet3"/>
  <dimension ref="A2:Y18"/>
  <sheetViews>
    <sheetView topLeftCell="G1" workbookViewId="0">
      <selection activeCell="T22" sqref="T22"/>
    </sheetView>
  </sheetViews>
  <sheetFormatPr defaultRowHeight="14.4" x14ac:dyDescent="0.3"/>
  <cols>
    <col min="11" max="11" width="9.77734375" bestFit="1" customWidth="1"/>
    <col min="12" max="12" width="9.77734375" customWidth="1"/>
    <col min="21" max="21" width="9.77734375" bestFit="1" customWidth="1"/>
    <col min="22" max="22" width="9.77734375" customWidth="1"/>
    <col min="23" max="23" width="9.77734375" bestFit="1" customWidth="1"/>
  </cols>
  <sheetData>
    <row r="2" spans="1:25" x14ac:dyDescent="0.3">
      <c r="A2" s="89" t="s">
        <v>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14.55" customHeight="1" x14ac:dyDescent="0.3">
      <c r="A3" s="82" t="s">
        <v>23</v>
      </c>
      <c r="B3" s="82" t="s">
        <v>34</v>
      </c>
      <c r="C3" s="92" t="s">
        <v>35</v>
      </c>
      <c r="D3" s="93"/>
      <c r="E3" s="93"/>
      <c r="F3" s="93"/>
      <c r="G3" s="93"/>
      <c r="H3" s="93"/>
      <c r="I3" s="93"/>
      <c r="J3" s="93"/>
      <c r="K3" s="93"/>
      <c r="L3" s="94"/>
      <c r="M3" s="92" t="s">
        <v>36</v>
      </c>
      <c r="N3" s="93"/>
      <c r="O3" s="93"/>
      <c r="P3" s="93"/>
      <c r="Q3" s="93"/>
      <c r="R3" s="93"/>
      <c r="S3" s="93"/>
      <c r="T3" s="93"/>
      <c r="U3" s="93"/>
      <c r="V3" s="93"/>
      <c r="W3" s="83" t="s">
        <v>37</v>
      </c>
      <c r="X3" s="86" t="s">
        <v>33</v>
      </c>
      <c r="Y3" s="86" t="s">
        <v>64</v>
      </c>
    </row>
    <row r="4" spans="1:25" ht="14.55" customHeight="1" x14ac:dyDescent="0.3">
      <c r="A4" s="82"/>
      <c r="B4" s="82"/>
      <c r="C4" s="92" t="s">
        <v>24</v>
      </c>
      <c r="D4" s="93"/>
      <c r="E4" s="94"/>
      <c r="F4" s="39"/>
      <c r="G4" s="92" t="s">
        <v>21</v>
      </c>
      <c r="H4" s="93"/>
      <c r="I4" s="94"/>
      <c r="J4" s="56"/>
      <c r="K4" s="86" t="s">
        <v>31</v>
      </c>
      <c r="L4" s="84" t="s">
        <v>53</v>
      </c>
      <c r="M4" s="92" t="s">
        <v>24</v>
      </c>
      <c r="N4" s="93"/>
      <c r="O4" s="94"/>
      <c r="P4" s="39"/>
      <c r="Q4" s="92" t="s">
        <v>21</v>
      </c>
      <c r="R4" s="93"/>
      <c r="S4" s="94"/>
      <c r="T4" s="56"/>
      <c r="U4" s="86" t="s">
        <v>31</v>
      </c>
      <c r="V4" s="91" t="s">
        <v>53</v>
      </c>
      <c r="W4" s="83"/>
      <c r="X4" s="87"/>
      <c r="Y4" s="87"/>
    </row>
    <row r="5" spans="1:25" ht="31.5" customHeight="1" x14ac:dyDescent="0.3">
      <c r="A5" s="82"/>
      <c r="B5" s="82"/>
      <c r="C5" s="20" t="s">
        <v>19</v>
      </c>
      <c r="D5" s="20" t="s">
        <v>20</v>
      </c>
      <c r="E5" s="20" t="s">
        <v>29</v>
      </c>
      <c r="F5" s="20" t="s">
        <v>55</v>
      </c>
      <c r="G5" s="20" t="s">
        <v>19</v>
      </c>
      <c r="H5" s="20" t="s">
        <v>20</v>
      </c>
      <c r="I5" s="20" t="s">
        <v>30</v>
      </c>
      <c r="J5" s="20" t="s">
        <v>56</v>
      </c>
      <c r="K5" s="88"/>
      <c r="L5" s="84"/>
      <c r="M5" s="20" t="s">
        <v>19</v>
      </c>
      <c r="N5" s="20" t="s">
        <v>20</v>
      </c>
      <c r="O5" s="20" t="s">
        <v>29</v>
      </c>
      <c r="P5" s="20" t="s">
        <v>55</v>
      </c>
      <c r="Q5" s="20" t="s">
        <v>19</v>
      </c>
      <c r="R5" s="20" t="s">
        <v>20</v>
      </c>
      <c r="S5" s="20" t="s">
        <v>30</v>
      </c>
      <c r="T5" s="20" t="s">
        <v>56</v>
      </c>
      <c r="U5" s="88"/>
      <c r="V5" s="91"/>
      <c r="W5" s="83"/>
      <c r="X5" s="88"/>
      <c r="Y5" s="88"/>
    </row>
    <row r="6" spans="1:25" x14ac:dyDescent="0.3">
      <c r="A6" s="23">
        <v>1</v>
      </c>
      <c r="B6" s="24">
        <v>44562</v>
      </c>
      <c r="C6" s="23">
        <v>686.8</v>
      </c>
      <c r="D6" s="23">
        <v>696.9</v>
      </c>
      <c r="E6" s="23">
        <f>(D6-C6)*1600000</f>
        <v>16160000.000000037</v>
      </c>
      <c r="F6" s="23">
        <f>E6</f>
        <v>16160000.000000037</v>
      </c>
      <c r="G6" s="23">
        <v>8.43</v>
      </c>
      <c r="H6" s="23">
        <v>8.52</v>
      </c>
      <c r="I6" s="23">
        <f>(H6-G6)*1600000</f>
        <v>143999.99999999977</v>
      </c>
      <c r="J6" s="23">
        <f>I6</f>
        <v>143999.99999999977</v>
      </c>
      <c r="K6" s="23">
        <f>E6-I6</f>
        <v>16016000.000000037</v>
      </c>
      <c r="L6" s="23">
        <f>K6</f>
        <v>16016000.000000037</v>
      </c>
      <c r="M6" s="23">
        <v>357.93</v>
      </c>
      <c r="N6" s="23">
        <v>368.02</v>
      </c>
      <c r="O6" s="23">
        <f>(N6-M6)*1600000</f>
        <v>16143999.999999961</v>
      </c>
      <c r="P6" s="23">
        <f>O6</f>
        <v>16143999.999999961</v>
      </c>
      <c r="Q6" s="23">
        <v>1.0900000000000001</v>
      </c>
      <c r="R6" s="23">
        <v>1.19</v>
      </c>
      <c r="S6" s="23">
        <f>(R6-Q6)*1600000</f>
        <v>159999.9999999998</v>
      </c>
      <c r="T6" s="23">
        <f>S6</f>
        <v>159999.9999999998</v>
      </c>
      <c r="U6" s="23">
        <f>O6-S6</f>
        <v>15983999.999999961</v>
      </c>
      <c r="V6" s="23">
        <f>P6-T6</f>
        <v>15983999.999999961</v>
      </c>
      <c r="W6" s="23">
        <f t="shared" ref="W6:W17" si="0">K6+U6</f>
        <v>32000000</v>
      </c>
      <c r="X6" s="23">
        <f>W6/1000</f>
        <v>32000</v>
      </c>
      <c r="Y6" s="4">
        <f>(L6+V6)/1000</f>
        <v>32000</v>
      </c>
    </row>
    <row r="7" spans="1:25" x14ac:dyDescent="0.3">
      <c r="A7" s="23">
        <v>2</v>
      </c>
      <c r="B7" s="24">
        <v>44593</v>
      </c>
      <c r="C7" s="23">
        <f t="shared" ref="C7:C17" si="1">D6</f>
        <v>696.9</v>
      </c>
      <c r="D7" s="23">
        <v>708.07</v>
      </c>
      <c r="E7" s="23">
        <f t="shared" ref="E7:E17" si="2">(D7-C7)*1600000</f>
        <v>17872000.000000115</v>
      </c>
      <c r="F7" s="23">
        <f>E7</f>
        <v>17872000.000000115</v>
      </c>
      <c r="G7" s="23">
        <f t="shared" ref="G7:G17" si="3">H6</f>
        <v>8.52</v>
      </c>
      <c r="H7" s="23">
        <v>8.59</v>
      </c>
      <c r="I7" s="23">
        <f t="shared" ref="I7:I17" si="4">(H7-G7)*1600000</f>
        <v>112000.00000000045</v>
      </c>
      <c r="J7" s="23">
        <f>I7</f>
        <v>112000.00000000045</v>
      </c>
      <c r="K7" s="23">
        <f t="shared" ref="K7:K17" si="5">E7-I7</f>
        <v>17760000.000000115</v>
      </c>
      <c r="L7" s="23">
        <f>K7</f>
        <v>17760000.000000115</v>
      </c>
      <c r="M7" s="23">
        <f t="shared" ref="M7:M17" si="6">N6</f>
        <v>368.02</v>
      </c>
      <c r="N7" s="23">
        <v>379.16</v>
      </c>
      <c r="O7" s="23">
        <f t="shared" ref="O7:O17" si="7">(N7-M7)*1600000</f>
        <v>17824000.000000071</v>
      </c>
      <c r="P7" s="23">
        <f>O7</f>
        <v>17824000.000000071</v>
      </c>
      <c r="Q7" s="23">
        <f t="shared" ref="Q7:Q17" si="8">R6</f>
        <v>1.19</v>
      </c>
      <c r="R7" s="23">
        <v>1.27</v>
      </c>
      <c r="S7" s="23">
        <f t="shared" ref="S7:S17" si="9">(R7-Q7)*1600000</f>
        <v>128000.00000000012</v>
      </c>
      <c r="T7" s="23">
        <f>S7</f>
        <v>128000.00000000012</v>
      </c>
      <c r="U7" s="23">
        <f t="shared" ref="U7:U17" si="10">O7-S7</f>
        <v>17696000.000000071</v>
      </c>
      <c r="V7" s="23">
        <f t="shared" ref="V7:V17" si="11">P7-T7</f>
        <v>17696000.000000071</v>
      </c>
      <c r="W7" s="23">
        <f t="shared" si="0"/>
        <v>35456000.000000186</v>
      </c>
      <c r="X7" s="23">
        <f t="shared" ref="X7:X17" si="12">W7/1000</f>
        <v>35456.000000000189</v>
      </c>
      <c r="Y7" s="4">
        <f t="shared" ref="Y7:Y17" si="13">(L7+V7)/1000</f>
        <v>35456.000000000189</v>
      </c>
    </row>
    <row r="8" spans="1:25" x14ac:dyDescent="0.3">
      <c r="A8" s="23">
        <v>3</v>
      </c>
      <c r="B8" s="24">
        <v>44621</v>
      </c>
      <c r="C8" s="23">
        <f t="shared" si="1"/>
        <v>708.07</v>
      </c>
      <c r="D8" s="23">
        <v>720.02</v>
      </c>
      <c r="E8" s="23">
        <f t="shared" si="2"/>
        <v>19119999.999999892</v>
      </c>
      <c r="F8" s="23">
        <f t="shared" ref="F8:F17" si="14">E8-E8*0.2%</f>
        <v>19081759.999999892</v>
      </c>
      <c r="G8" s="23">
        <f t="shared" si="3"/>
        <v>8.59</v>
      </c>
      <c r="H8" s="23">
        <v>8.68</v>
      </c>
      <c r="I8" s="23">
        <f t="shared" si="4"/>
        <v>143999.99999999977</v>
      </c>
      <c r="J8" s="23">
        <f t="shared" ref="J8:J17" si="15">I8+I8*0.2%</f>
        <v>144287.99999999977</v>
      </c>
      <c r="K8" s="23">
        <f t="shared" si="5"/>
        <v>18975999.999999892</v>
      </c>
      <c r="L8" s="23">
        <f t="shared" ref="L8:L17" si="16">F8-J8</f>
        <v>18937471.999999892</v>
      </c>
      <c r="M8" s="23">
        <f t="shared" si="6"/>
        <v>379.16</v>
      </c>
      <c r="N8" s="23">
        <v>391.12</v>
      </c>
      <c r="O8" s="23">
        <f t="shared" si="7"/>
        <v>19135999.999999966</v>
      </c>
      <c r="P8" s="23">
        <f t="shared" ref="P8:P17" si="17">O8-O8*0.2%</f>
        <v>19097727.999999966</v>
      </c>
      <c r="Q8" s="23">
        <f t="shared" si="8"/>
        <v>1.27</v>
      </c>
      <c r="R8" s="23">
        <v>1.36</v>
      </c>
      <c r="S8" s="23">
        <f t="shared" si="9"/>
        <v>144000.00000000012</v>
      </c>
      <c r="T8" s="23">
        <f t="shared" ref="T8:T17" si="18">S8+S8*0.2%</f>
        <v>144288.00000000012</v>
      </c>
      <c r="U8" s="23">
        <f t="shared" si="10"/>
        <v>18991999.999999966</v>
      </c>
      <c r="V8" s="23">
        <f t="shared" si="11"/>
        <v>18953439.999999966</v>
      </c>
      <c r="W8" s="23">
        <f t="shared" si="0"/>
        <v>37967999.999999858</v>
      </c>
      <c r="X8" s="23">
        <f>W8/1000</f>
        <v>37967.999999999862</v>
      </c>
      <c r="Y8" s="4">
        <f t="shared" si="13"/>
        <v>37890.911999999858</v>
      </c>
    </row>
    <row r="9" spans="1:25" x14ac:dyDescent="0.3">
      <c r="A9" s="23">
        <v>4</v>
      </c>
      <c r="B9" s="24">
        <v>44652</v>
      </c>
      <c r="C9" s="23">
        <f t="shared" si="1"/>
        <v>720.02</v>
      </c>
      <c r="D9" s="23">
        <v>731.44</v>
      </c>
      <c r="E9" s="23">
        <f t="shared" si="2"/>
        <v>18272000.000000115</v>
      </c>
      <c r="F9" s="23">
        <f t="shared" si="14"/>
        <v>18235456.000000115</v>
      </c>
      <c r="G9" s="23">
        <f t="shared" si="3"/>
        <v>8.68</v>
      </c>
      <c r="H9" s="23">
        <v>8.75</v>
      </c>
      <c r="I9" s="23">
        <f t="shared" si="4"/>
        <v>112000.00000000045</v>
      </c>
      <c r="J9" s="23">
        <f t="shared" si="15"/>
        <v>112224.00000000045</v>
      </c>
      <c r="K9" s="23">
        <f t="shared" si="5"/>
        <v>18160000.000000115</v>
      </c>
      <c r="L9" s="23">
        <f t="shared" si="16"/>
        <v>18123232.000000115</v>
      </c>
      <c r="M9" s="23">
        <f t="shared" si="6"/>
        <v>391.12</v>
      </c>
      <c r="N9" s="23">
        <v>402.51</v>
      </c>
      <c r="O9" s="23">
        <f t="shared" si="7"/>
        <v>18223999.999999978</v>
      </c>
      <c r="P9" s="23">
        <f t="shared" si="17"/>
        <v>18187551.999999978</v>
      </c>
      <c r="Q9" s="23">
        <f t="shared" si="8"/>
        <v>1.36</v>
      </c>
      <c r="R9" s="23">
        <v>1.44</v>
      </c>
      <c r="S9" s="23">
        <f t="shared" si="9"/>
        <v>127999.99999999975</v>
      </c>
      <c r="T9" s="23">
        <f t="shared" si="18"/>
        <v>128255.99999999975</v>
      </c>
      <c r="U9" s="23">
        <f t="shared" si="10"/>
        <v>18095999.999999978</v>
      </c>
      <c r="V9" s="23">
        <f t="shared" si="11"/>
        <v>18059295.999999978</v>
      </c>
      <c r="W9" s="23">
        <f t="shared" si="0"/>
        <v>36256000.000000089</v>
      </c>
      <c r="X9" s="23">
        <f t="shared" si="12"/>
        <v>36256.000000000087</v>
      </c>
      <c r="Y9" s="4">
        <f t="shared" si="13"/>
        <v>36182.528000000093</v>
      </c>
    </row>
    <row r="10" spans="1:25" x14ac:dyDescent="0.3">
      <c r="A10" s="23">
        <v>5</v>
      </c>
      <c r="B10" s="24">
        <v>44682</v>
      </c>
      <c r="C10" s="23">
        <f t="shared" si="1"/>
        <v>731.44</v>
      </c>
      <c r="D10" s="23">
        <v>743.45</v>
      </c>
      <c r="E10" s="23">
        <f t="shared" si="2"/>
        <v>19215999.999999985</v>
      </c>
      <c r="F10" s="23">
        <f t="shared" si="14"/>
        <v>19177567.999999985</v>
      </c>
      <c r="G10" s="23">
        <f t="shared" si="3"/>
        <v>8.75</v>
      </c>
      <c r="H10" s="23">
        <v>8.83</v>
      </c>
      <c r="I10" s="23">
        <f t="shared" si="4"/>
        <v>128000.00000000012</v>
      </c>
      <c r="J10" s="23">
        <f t="shared" si="15"/>
        <v>128256.00000000012</v>
      </c>
      <c r="K10" s="23">
        <f t="shared" si="5"/>
        <v>19087999.999999985</v>
      </c>
      <c r="L10" s="23">
        <f t="shared" si="16"/>
        <v>19049311.999999985</v>
      </c>
      <c r="M10" s="23">
        <f t="shared" si="6"/>
        <v>402.51</v>
      </c>
      <c r="N10" s="23">
        <v>414.49</v>
      </c>
      <c r="O10" s="23">
        <f t="shared" si="7"/>
        <v>19168000.00000003</v>
      </c>
      <c r="P10" s="23">
        <f t="shared" si="17"/>
        <v>19129664.00000003</v>
      </c>
      <c r="Q10" s="23">
        <f t="shared" si="8"/>
        <v>1.44</v>
      </c>
      <c r="R10" s="23">
        <v>1.51</v>
      </c>
      <c r="S10" s="23">
        <f t="shared" si="9"/>
        <v>112000.0000000001</v>
      </c>
      <c r="T10" s="23">
        <f t="shared" si="18"/>
        <v>112224.0000000001</v>
      </c>
      <c r="U10" s="23">
        <f t="shared" si="10"/>
        <v>19056000.00000003</v>
      </c>
      <c r="V10" s="23">
        <f t="shared" si="11"/>
        <v>19017440.00000003</v>
      </c>
      <c r="W10" s="23">
        <f t="shared" si="0"/>
        <v>38144000.000000015</v>
      </c>
      <c r="X10" s="23">
        <f t="shared" si="12"/>
        <v>38144.000000000015</v>
      </c>
      <c r="Y10" s="4">
        <f t="shared" si="13"/>
        <v>38066.752000000015</v>
      </c>
    </row>
    <row r="11" spans="1:25" x14ac:dyDescent="0.3">
      <c r="A11" s="23">
        <v>6</v>
      </c>
      <c r="B11" s="24">
        <v>44713</v>
      </c>
      <c r="C11" s="23">
        <f t="shared" si="1"/>
        <v>743.45</v>
      </c>
      <c r="D11" s="23">
        <v>753.58</v>
      </c>
      <c r="E11" s="23">
        <f t="shared" si="2"/>
        <v>16207999.999999993</v>
      </c>
      <c r="F11" s="23">
        <f t="shared" si="14"/>
        <v>16175583.999999993</v>
      </c>
      <c r="G11" s="23">
        <f t="shared" si="3"/>
        <v>8.83</v>
      </c>
      <c r="H11" s="23">
        <v>8.9</v>
      </c>
      <c r="I11" s="23">
        <f t="shared" si="4"/>
        <v>112000.00000000045</v>
      </c>
      <c r="J11" s="23">
        <f t="shared" si="15"/>
        <v>112224.00000000045</v>
      </c>
      <c r="K11" s="23">
        <f t="shared" si="5"/>
        <v>16095999.999999993</v>
      </c>
      <c r="L11" s="23">
        <f t="shared" si="16"/>
        <v>16063359.999999993</v>
      </c>
      <c r="M11" s="23">
        <f t="shared" si="6"/>
        <v>414.49</v>
      </c>
      <c r="N11" s="23">
        <v>424.6</v>
      </c>
      <c r="O11" s="23">
        <f t="shared" si="7"/>
        <v>16176000.000000022</v>
      </c>
      <c r="P11" s="23">
        <f t="shared" si="17"/>
        <v>16143648.000000022</v>
      </c>
      <c r="Q11" s="23">
        <f t="shared" si="8"/>
        <v>1.51</v>
      </c>
      <c r="R11" s="23">
        <v>1.59</v>
      </c>
      <c r="S11" s="23">
        <f t="shared" si="9"/>
        <v>128000.00000000012</v>
      </c>
      <c r="T11" s="23">
        <f t="shared" si="18"/>
        <v>128256.00000000012</v>
      </c>
      <c r="U11" s="23">
        <f t="shared" si="10"/>
        <v>16048000.000000022</v>
      </c>
      <c r="V11" s="23">
        <f t="shared" si="11"/>
        <v>16015392.000000022</v>
      </c>
      <c r="W11" s="23">
        <f t="shared" si="0"/>
        <v>32144000.000000015</v>
      </c>
      <c r="X11" s="23">
        <f t="shared" si="12"/>
        <v>32144.000000000015</v>
      </c>
      <c r="Y11" s="4">
        <f t="shared" si="13"/>
        <v>32078.752000000015</v>
      </c>
    </row>
    <row r="12" spans="1:25" x14ac:dyDescent="0.3">
      <c r="A12" s="23">
        <v>7</v>
      </c>
      <c r="B12" s="24">
        <v>44743</v>
      </c>
      <c r="C12" s="23">
        <f t="shared" si="1"/>
        <v>753.58</v>
      </c>
      <c r="D12" s="23">
        <v>760.84</v>
      </c>
      <c r="E12" s="23">
        <f t="shared" si="2"/>
        <v>11615999.999999985</v>
      </c>
      <c r="F12" s="23">
        <f t="shared" si="14"/>
        <v>11592767.999999985</v>
      </c>
      <c r="G12" s="23">
        <f t="shared" si="3"/>
        <v>8.9</v>
      </c>
      <c r="H12" s="23">
        <v>8.98</v>
      </c>
      <c r="I12" s="23">
        <f t="shared" si="4"/>
        <v>128000.00000000012</v>
      </c>
      <c r="J12" s="23">
        <f t="shared" si="15"/>
        <v>128256.00000000012</v>
      </c>
      <c r="K12" s="23">
        <f t="shared" si="5"/>
        <v>11487999.999999985</v>
      </c>
      <c r="L12" s="23">
        <f t="shared" si="16"/>
        <v>11464511.999999985</v>
      </c>
      <c r="M12" s="23">
        <f t="shared" si="6"/>
        <v>424.6</v>
      </c>
      <c r="N12" s="23">
        <v>431.83</v>
      </c>
      <c r="O12" s="23">
        <f t="shared" si="7"/>
        <v>11567999.999999939</v>
      </c>
      <c r="P12" s="23">
        <f t="shared" si="17"/>
        <v>11544863.999999939</v>
      </c>
      <c r="Q12" s="23">
        <f t="shared" si="8"/>
        <v>1.59</v>
      </c>
      <c r="R12" s="23">
        <v>1.67</v>
      </c>
      <c r="S12" s="23">
        <f t="shared" si="9"/>
        <v>127999.99999999975</v>
      </c>
      <c r="T12" s="23">
        <f t="shared" si="18"/>
        <v>128255.99999999975</v>
      </c>
      <c r="U12" s="23">
        <f t="shared" si="10"/>
        <v>11439999.999999939</v>
      </c>
      <c r="V12" s="23">
        <f t="shared" si="11"/>
        <v>11416607.999999939</v>
      </c>
      <c r="W12" s="23">
        <f t="shared" si="0"/>
        <v>22927999.999999925</v>
      </c>
      <c r="X12" s="23">
        <f t="shared" si="12"/>
        <v>22927.999999999927</v>
      </c>
      <c r="Y12" s="4">
        <f t="shared" si="13"/>
        <v>22881.119999999926</v>
      </c>
    </row>
    <row r="13" spans="1:25" x14ac:dyDescent="0.3">
      <c r="A13" s="23">
        <v>8</v>
      </c>
      <c r="B13" s="24">
        <v>44774</v>
      </c>
      <c r="C13" s="23">
        <f t="shared" si="1"/>
        <v>760.84</v>
      </c>
      <c r="D13" s="23">
        <v>768.47</v>
      </c>
      <c r="E13" s="23">
        <f t="shared" si="2"/>
        <v>12207999.999999993</v>
      </c>
      <c r="F13" s="23">
        <f t="shared" si="14"/>
        <v>12183583.999999993</v>
      </c>
      <c r="G13" s="23">
        <f t="shared" si="3"/>
        <v>8.98</v>
      </c>
      <c r="H13" s="23">
        <v>9.0500000000000007</v>
      </c>
      <c r="I13" s="23">
        <f t="shared" si="4"/>
        <v>112000.00000000045</v>
      </c>
      <c r="J13" s="23">
        <f t="shared" si="15"/>
        <v>112224.00000000045</v>
      </c>
      <c r="K13" s="23">
        <f t="shared" si="5"/>
        <v>12095999.999999993</v>
      </c>
      <c r="L13" s="23">
        <f t="shared" si="16"/>
        <v>12071359.999999993</v>
      </c>
      <c r="M13" s="23">
        <f t="shared" si="6"/>
        <v>431.83</v>
      </c>
      <c r="N13" s="23">
        <v>439.55</v>
      </c>
      <c r="O13" s="23">
        <f t="shared" si="7"/>
        <v>12352000.000000043</v>
      </c>
      <c r="P13" s="23">
        <f t="shared" si="17"/>
        <v>12327296.000000043</v>
      </c>
      <c r="Q13" s="23">
        <f t="shared" si="8"/>
        <v>1.67</v>
      </c>
      <c r="R13" s="23">
        <v>1.75</v>
      </c>
      <c r="S13" s="23">
        <f t="shared" si="9"/>
        <v>128000.00000000012</v>
      </c>
      <c r="T13" s="23">
        <f t="shared" si="18"/>
        <v>128256.00000000012</v>
      </c>
      <c r="U13" s="23">
        <f t="shared" si="10"/>
        <v>12224000.000000043</v>
      </c>
      <c r="V13" s="23">
        <f t="shared" si="11"/>
        <v>12199040.000000043</v>
      </c>
      <c r="W13" s="23">
        <f t="shared" si="0"/>
        <v>24320000.000000037</v>
      </c>
      <c r="X13" s="23">
        <f t="shared" si="12"/>
        <v>24320.000000000036</v>
      </c>
      <c r="Y13" s="4">
        <f t="shared" si="13"/>
        <v>24270.400000000038</v>
      </c>
    </row>
    <row r="14" spans="1:25" x14ac:dyDescent="0.3">
      <c r="A14" s="23">
        <v>9</v>
      </c>
      <c r="B14" s="24">
        <v>44805</v>
      </c>
      <c r="C14" s="23">
        <f t="shared" si="1"/>
        <v>768.47</v>
      </c>
      <c r="D14" s="23">
        <v>777.33</v>
      </c>
      <c r="E14" s="23">
        <f t="shared" si="2"/>
        <v>14176000.000000022</v>
      </c>
      <c r="F14" s="23">
        <f t="shared" si="14"/>
        <v>14147648.000000022</v>
      </c>
      <c r="G14" s="23">
        <f t="shared" si="3"/>
        <v>9.0500000000000007</v>
      </c>
      <c r="H14" s="23">
        <v>9.1300000000000008</v>
      </c>
      <c r="I14" s="23">
        <f t="shared" si="4"/>
        <v>128000.00000000012</v>
      </c>
      <c r="J14" s="23">
        <f t="shared" si="15"/>
        <v>128256.00000000012</v>
      </c>
      <c r="K14" s="23">
        <f t="shared" si="5"/>
        <v>14048000.000000022</v>
      </c>
      <c r="L14" s="23">
        <f t="shared" si="16"/>
        <v>14019392.000000022</v>
      </c>
      <c r="M14" s="23">
        <f t="shared" si="6"/>
        <v>439.55</v>
      </c>
      <c r="N14" s="23">
        <v>448.28</v>
      </c>
      <c r="O14" s="23">
        <f t="shared" si="7"/>
        <v>13967999.999999939</v>
      </c>
      <c r="P14" s="23">
        <f t="shared" si="17"/>
        <v>13940063.999999939</v>
      </c>
      <c r="Q14" s="23">
        <f t="shared" si="8"/>
        <v>1.75</v>
      </c>
      <c r="R14" s="23">
        <v>1.83</v>
      </c>
      <c r="S14" s="23">
        <f t="shared" si="9"/>
        <v>128000.00000000012</v>
      </c>
      <c r="T14" s="23">
        <f t="shared" si="18"/>
        <v>128256.00000000012</v>
      </c>
      <c r="U14" s="23">
        <f t="shared" si="10"/>
        <v>13839999.999999939</v>
      </c>
      <c r="V14" s="23">
        <f t="shared" si="11"/>
        <v>13811807.999999939</v>
      </c>
      <c r="W14" s="23">
        <f t="shared" si="0"/>
        <v>27887999.999999963</v>
      </c>
      <c r="X14" s="23">
        <f t="shared" si="12"/>
        <v>27887.999999999964</v>
      </c>
      <c r="Y14" s="4">
        <f t="shared" si="13"/>
        <v>27831.199999999964</v>
      </c>
    </row>
    <row r="15" spans="1:25" x14ac:dyDescent="0.3">
      <c r="A15" s="23">
        <v>10</v>
      </c>
      <c r="B15" s="24">
        <v>44835</v>
      </c>
      <c r="C15" s="23">
        <f t="shared" si="1"/>
        <v>777.33</v>
      </c>
      <c r="D15" s="23">
        <v>787.87</v>
      </c>
      <c r="E15" s="23">
        <f t="shared" si="2"/>
        <v>16863999.99999994</v>
      </c>
      <c r="F15" s="23">
        <f t="shared" si="14"/>
        <v>16830271.99999994</v>
      </c>
      <c r="G15" s="23">
        <f t="shared" si="3"/>
        <v>9.1300000000000008</v>
      </c>
      <c r="H15" s="23">
        <v>9.2200000000000006</v>
      </c>
      <c r="I15" s="23">
        <f t="shared" si="4"/>
        <v>143999.99999999977</v>
      </c>
      <c r="J15" s="23">
        <f t="shared" si="15"/>
        <v>144287.99999999977</v>
      </c>
      <c r="K15" s="23">
        <f t="shared" si="5"/>
        <v>16719999.99999994</v>
      </c>
      <c r="L15" s="23">
        <f t="shared" si="16"/>
        <v>16685983.99999994</v>
      </c>
      <c r="M15" s="23">
        <f t="shared" si="6"/>
        <v>448.28</v>
      </c>
      <c r="N15" s="23">
        <v>458.62</v>
      </c>
      <c r="O15" s="23">
        <f t="shared" si="7"/>
        <v>16544000.00000005</v>
      </c>
      <c r="P15" s="23">
        <f t="shared" si="17"/>
        <v>16510912.00000005</v>
      </c>
      <c r="Q15" s="23">
        <f t="shared" si="8"/>
        <v>1.83</v>
      </c>
      <c r="R15" s="23">
        <v>1.92</v>
      </c>
      <c r="S15" s="23">
        <f t="shared" si="9"/>
        <v>143999.99999999977</v>
      </c>
      <c r="T15" s="23">
        <f t="shared" si="18"/>
        <v>144287.99999999977</v>
      </c>
      <c r="U15" s="23">
        <f t="shared" si="10"/>
        <v>16400000.00000005</v>
      </c>
      <c r="V15" s="23">
        <f t="shared" si="11"/>
        <v>16366624.00000005</v>
      </c>
      <c r="W15" s="23">
        <f t="shared" si="0"/>
        <v>33119999.999999993</v>
      </c>
      <c r="X15" s="23">
        <f t="shared" si="12"/>
        <v>33119.999999999993</v>
      </c>
      <c r="Y15" s="4">
        <f t="shared" si="13"/>
        <v>33052.607999999993</v>
      </c>
    </row>
    <row r="16" spans="1:25" x14ac:dyDescent="0.3">
      <c r="A16" s="23">
        <v>11</v>
      </c>
      <c r="B16" s="24">
        <v>44866</v>
      </c>
      <c r="C16" s="23">
        <f t="shared" si="1"/>
        <v>787.87</v>
      </c>
      <c r="D16" s="23">
        <v>798.13</v>
      </c>
      <c r="E16" s="23">
        <f t="shared" si="2"/>
        <v>16415999.999999985</v>
      </c>
      <c r="F16" s="23">
        <f t="shared" si="14"/>
        <v>16383167.999999985</v>
      </c>
      <c r="G16" s="23">
        <f t="shared" si="3"/>
        <v>9.2200000000000006</v>
      </c>
      <c r="H16" s="23">
        <v>9.3000000000000007</v>
      </c>
      <c r="I16" s="23">
        <f t="shared" si="4"/>
        <v>128000.00000000012</v>
      </c>
      <c r="J16" s="23">
        <f t="shared" si="15"/>
        <v>128256.00000000012</v>
      </c>
      <c r="K16" s="23">
        <f t="shared" si="5"/>
        <v>16287999.999999985</v>
      </c>
      <c r="L16" s="23">
        <f t="shared" si="16"/>
        <v>16254911.999999985</v>
      </c>
      <c r="M16" s="23">
        <f t="shared" si="6"/>
        <v>458.62</v>
      </c>
      <c r="N16" s="23">
        <v>468.39</v>
      </c>
      <c r="O16" s="23">
        <f t="shared" si="7"/>
        <v>15631999.99999997</v>
      </c>
      <c r="P16" s="23">
        <f t="shared" si="17"/>
        <v>15600735.99999997</v>
      </c>
      <c r="Q16" s="23">
        <f t="shared" si="8"/>
        <v>1.92</v>
      </c>
      <c r="R16" s="23">
        <v>2.0099999999999998</v>
      </c>
      <c r="S16" s="23">
        <f t="shared" si="9"/>
        <v>143999.99999999977</v>
      </c>
      <c r="T16" s="23">
        <f t="shared" si="18"/>
        <v>144287.99999999977</v>
      </c>
      <c r="U16" s="23">
        <f t="shared" si="10"/>
        <v>15487999.99999997</v>
      </c>
      <c r="V16" s="23">
        <f t="shared" si="11"/>
        <v>15456447.99999997</v>
      </c>
      <c r="W16" s="23">
        <f t="shared" si="0"/>
        <v>31775999.999999955</v>
      </c>
      <c r="X16" s="23">
        <f t="shared" si="12"/>
        <v>31775.999999999956</v>
      </c>
      <c r="Y16" s="4">
        <f>(L16+V16)/1000</f>
        <v>31711.359999999957</v>
      </c>
    </row>
    <row r="17" spans="1:25" x14ac:dyDescent="0.3">
      <c r="A17" s="23">
        <v>12</v>
      </c>
      <c r="B17" s="24">
        <v>44896</v>
      </c>
      <c r="C17" s="23">
        <f t="shared" si="1"/>
        <v>798.13</v>
      </c>
      <c r="D17" s="23">
        <v>807.74</v>
      </c>
      <c r="E17" s="23">
        <f t="shared" si="2"/>
        <v>15376000.000000022</v>
      </c>
      <c r="F17" s="23">
        <f t="shared" si="14"/>
        <v>15345248.000000022</v>
      </c>
      <c r="G17" s="23">
        <f t="shared" si="3"/>
        <v>9.3000000000000007</v>
      </c>
      <c r="H17" s="23">
        <v>9.39</v>
      </c>
      <c r="I17" s="23">
        <f t="shared" si="4"/>
        <v>143999.99999999977</v>
      </c>
      <c r="J17" s="23">
        <f t="shared" si="15"/>
        <v>144287.99999999977</v>
      </c>
      <c r="K17" s="23">
        <f t="shared" si="5"/>
        <v>15232000.000000022</v>
      </c>
      <c r="L17" s="23">
        <f t="shared" si="16"/>
        <v>15200960.000000022</v>
      </c>
      <c r="M17" s="23">
        <f t="shared" si="6"/>
        <v>468.39</v>
      </c>
      <c r="N17" s="23">
        <v>477.99</v>
      </c>
      <c r="O17" s="23">
        <f t="shared" si="7"/>
        <v>15360000.000000037</v>
      </c>
      <c r="P17" s="23">
        <f t="shared" si="17"/>
        <v>15329280.000000037</v>
      </c>
      <c r="Q17" s="23">
        <f t="shared" si="8"/>
        <v>2.0099999999999998</v>
      </c>
      <c r="R17" s="23">
        <v>2.1</v>
      </c>
      <c r="S17" s="23">
        <f t="shared" si="9"/>
        <v>144000.00000000049</v>
      </c>
      <c r="T17" s="23">
        <f t="shared" si="18"/>
        <v>144288.00000000049</v>
      </c>
      <c r="U17" s="23">
        <f t="shared" si="10"/>
        <v>15216000.000000037</v>
      </c>
      <c r="V17" s="23">
        <f t="shared" si="11"/>
        <v>15184992.000000037</v>
      </c>
      <c r="W17" s="23">
        <f t="shared" si="0"/>
        <v>30448000.00000006</v>
      </c>
      <c r="X17" s="23">
        <f t="shared" si="12"/>
        <v>30448.000000000058</v>
      </c>
      <c r="Y17" s="4">
        <f t="shared" si="13"/>
        <v>30385.952000000059</v>
      </c>
    </row>
    <row r="18" spans="1:25" x14ac:dyDescent="0.3">
      <c r="A18" s="25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>
        <f>SUM(K6:K17)</f>
        <v>191968000.00000009</v>
      </c>
      <c r="L18" s="25">
        <f>SUM(L6:L17)</f>
        <v>191646496.00000009</v>
      </c>
      <c r="M18" s="25"/>
      <c r="N18" s="25"/>
      <c r="O18" s="25"/>
      <c r="P18" s="25"/>
      <c r="Q18" s="25"/>
      <c r="R18" s="25"/>
      <c r="S18" s="25"/>
      <c r="T18" s="25"/>
      <c r="U18" s="25">
        <f>SUM(U6:U17)</f>
        <v>190480000</v>
      </c>
      <c r="V18" s="25">
        <f>SUM(V6:V17)</f>
        <v>190161088</v>
      </c>
      <c r="W18" s="25">
        <f>SUM(W6:W17)</f>
        <v>382448000.00000006</v>
      </c>
      <c r="X18" s="25">
        <f>SUM(X6:X17)</f>
        <v>382448.00000000012</v>
      </c>
      <c r="Y18" s="51">
        <f>SUM(Y6:Y17)</f>
        <v>381807.58400000003</v>
      </c>
    </row>
  </sheetData>
  <mergeCells count="16">
    <mergeCell ref="Y3:Y5"/>
    <mergeCell ref="A2:Y2"/>
    <mergeCell ref="L4:L5"/>
    <mergeCell ref="V4:V5"/>
    <mergeCell ref="C3:L3"/>
    <mergeCell ref="M3:V3"/>
    <mergeCell ref="C4:E4"/>
    <mergeCell ref="A3:A5"/>
    <mergeCell ref="B3:B5"/>
    <mergeCell ref="W3:W5"/>
    <mergeCell ref="G4:I4"/>
    <mergeCell ref="K4:K5"/>
    <mergeCell ref="U4:U5"/>
    <mergeCell ref="M4:O4"/>
    <mergeCell ref="Q4:S4"/>
    <mergeCell ref="X3:X5"/>
  </mergeCells>
  <pageMargins left="0.7" right="0.7" top="0.75" bottom="0.75" header="0.3" footer="0.3"/>
  <pageSetup orientation="portrait" r:id="rId1"/>
  <ignoredErrors>
    <ignoredError sqref="K6:K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72F8-4911-4712-9A43-A3DE2378AFBA}">
  <sheetPr codeName="Sheet4"/>
  <dimension ref="B2:L17"/>
  <sheetViews>
    <sheetView workbookViewId="0">
      <selection activeCell="L21" sqref="L21"/>
    </sheetView>
  </sheetViews>
  <sheetFormatPr defaultRowHeight="14.4" x14ac:dyDescent="0.3"/>
  <cols>
    <col min="9" max="9" width="5.44140625" customWidth="1"/>
    <col min="10" max="10" width="8.77734375" hidden="1" customWidth="1"/>
    <col min="11" max="11" width="16.109375" bestFit="1" customWidth="1"/>
    <col min="12" max="12" width="26.33203125" customWidth="1"/>
  </cols>
  <sheetData>
    <row r="2" spans="2:12" ht="14.55" customHeight="1" x14ac:dyDescent="0.3">
      <c r="B2" s="82" t="s">
        <v>23</v>
      </c>
      <c r="C2" s="82" t="s">
        <v>34</v>
      </c>
      <c r="D2" s="97" t="s">
        <v>51</v>
      </c>
      <c r="E2" s="98"/>
      <c r="F2" s="98"/>
      <c r="G2" s="98"/>
      <c r="H2" s="98"/>
      <c r="I2" s="98"/>
      <c r="J2" s="98"/>
      <c r="K2" s="98"/>
      <c r="L2" s="98"/>
    </row>
    <row r="3" spans="2:12" x14ac:dyDescent="0.3">
      <c r="B3" s="82"/>
      <c r="C3" s="82"/>
      <c r="D3" s="114" t="s">
        <v>46</v>
      </c>
      <c r="E3" s="115"/>
      <c r="F3" s="116"/>
      <c r="G3" s="110" t="s">
        <v>31</v>
      </c>
      <c r="H3" s="111"/>
      <c r="I3" s="111"/>
      <c r="J3" s="112"/>
      <c r="K3" s="105" t="s">
        <v>43</v>
      </c>
      <c r="L3" s="95" t="s">
        <v>52</v>
      </c>
    </row>
    <row r="4" spans="2:12" x14ac:dyDescent="0.3">
      <c r="B4" s="82"/>
      <c r="C4" s="82"/>
      <c r="D4" s="117"/>
      <c r="E4" s="118"/>
      <c r="F4" s="119"/>
      <c r="G4" s="97"/>
      <c r="H4" s="98"/>
      <c r="I4" s="98"/>
      <c r="J4" s="113"/>
      <c r="K4" s="106"/>
      <c r="L4" s="96"/>
    </row>
    <row r="5" spans="2:12" x14ac:dyDescent="0.3">
      <c r="B5" s="23">
        <v>1</v>
      </c>
      <c r="C5" s="24">
        <v>44562</v>
      </c>
      <c r="D5" s="107">
        <v>7847738</v>
      </c>
      <c r="E5" s="108"/>
      <c r="F5" s="109"/>
      <c r="G5" s="107">
        <f>D5</f>
        <v>7847738</v>
      </c>
      <c r="H5" s="108"/>
      <c r="I5" s="108"/>
      <c r="J5" s="109"/>
      <c r="K5" s="23">
        <f>(G5/1000)</f>
        <v>7847.7380000000003</v>
      </c>
      <c r="L5" s="60">
        <f>K5</f>
        <v>7847.7380000000003</v>
      </c>
    </row>
    <row r="6" spans="2:12" x14ac:dyDescent="0.3">
      <c r="B6" s="23">
        <v>2</v>
      </c>
      <c r="C6" s="24">
        <v>44593</v>
      </c>
      <c r="D6" s="107">
        <v>5995350</v>
      </c>
      <c r="E6" s="108"/>
      <c r="F6" s="109"/>
      <c r="G6" s="107">
        <f t="shared" ref="G6:G17" si="0">D6</f>
        <v>5995350</v>
      </c>
      <c r="H6" s="108"/>
      <c r="I6" s="108"/>
      <c r="J6" s="109"/>
      <c r="K6" s="23">
        <f t="shared" ref="K6:K16" si="1">G6/1000</f>
        <v>5995.35</v>
      </c>
      <c r="L6" s="60">
        <f t="shared" ref="L6:L14" si="2">K6</f>
        <v>5995.35</v>
      </c>
    </row>
    <row r="7" spans="2:12" x14ac:dyDescent="0.3">
      <c r="B7" s="23">
        <v>3</v>
      </c>
      <c r="C7" s="24">
        <v>44621</v>
      </c>
      <c r="D7" s="107">
        <v>9012255</v>
      </c>
      <c r="E7" s="108"/>
      <c r="F7" s="109"/>
      <c r="G7" s="107">
        <f t="shared" si="0"/>
        <v>9012255</v>
      </c>
      <c r="H7" s="108"/>
      <c r="I7" s="108"/>
      <c r="J7" s="109"/>
      <c r="K7" s="23">
        <f t="shared" si="1"/>
        <v>9012.2549999999992</v>
      </c>
      <c r="L7" s="60">
        <f t="shared" si="2"/>
        <v>9012.2549999999992</v>
      </c>
    </row>
    <row r="8" spans="2:12" x14ac:dyDescent="0.3">
      <c r="B8" s="23">
        <v>4</v>
      </c>
      <c r="C8" s="24">
        <v>44652</v>
      </c>
      <c r="D8" s="107">
        <v>10104119</v>
      </c>
      <c r="E8" s="108"/>
      <c r="F8" s="109"/>
      <c r="G8" s="107">
        <f t="shared" si="0"/>
        <v>10104119</v>
      </c>
      <c r="H8" s="108"/>
      <c r="I8" s="108"/>
      <c r="J8" s="109"/>
      <c r="K8" s="23">
        <f t="shared" si="1"/>
        <v>10104.119000000001</v>
      </c>
      <c r="L8" s="60">
        <f t="shared" si="2"/>
        <v>10104.119000000001</v>
      </c>
    </row>
    <row r="9" spans="2:12" x14ac:dyDescent="0.3">
      <c r="B9" s="23">
        <v>5</v>
      </c>
      <c r="C9" s="24">
        <v>44682</v>
      </c>
      <c r="D9" s="107">
        <v>16454463</v>
      </c>
      <c r="E9" s="108"/>
      <c r="F9" s="109"/>
      <c r="G9" s="107">
        <f t="shared" si="0"/>
        <v>16454463</v>
      </c>
      <c r="H9" s="108"/>
      <c r="I9" s="108"/>
      <c r="J9" s="109"/>
      <c r="K9" s="23">
        <f t="shared" si="1"/>
        <v>16454.463</v>
      </c>
      <c r="L9" s="60">
        <f t="shared" si="2"/>
        <v>16454.463</v>
      </c>
    </row>
    <row r="10" spans="2:12" x14ac:dyDescent="0.3">
      <c r="B10" s="23">
        <v>6</v>
      </c>
      <c r="C10" s="24">
        <v>44713</v>
      </c>
      <c r="D10" s="107">
        <v>9889640</v>
      </c>
      <c r="E10" s="108"/>
      <c r="F10" s="109"/>
      <c r="G10" s="107">
        <f t="shared" si="0"/>
        <v>9889640</v>
      </c>
      <c r="H10" s="108"/>
      <c r="I10" s="108"/>
      <c r="J10" s="109"/>
      <c r="K10" s="23">
        <f t="shared" si="1"/>
        <v>9889.64</v>
      </c>
      <c r="L10" s="60">
        <f t="shared" si="2"/>
        <v>9889.64</v>
      </c>
    </row>
    <row r="11" spans="2:12" x14ac:dyDescent="0.3">
      <c r="B11" s="23">
        <v>7</v>
      </c>
      <c r="C11" s="24">
        <v>44743</v>
      </c>
      <c r="D11" s="107">
        <v>12320636</v>
      </c>
      <c r="E11" s="108"/>
      <c r="F11" s="109"/>
      <c r="G11" s="107">
        <f t="shared" si="0"/>
        <v>12320636</v>
      </c>
      <c r="H11" s="108"/>
      <c r="I11" s="108"/>
      <c r="J11" s="109"/>
      <c r="K11" s="23">
        <f t="shared" si="1"/>
        <v>12320.636</v>
      </c>
      <c r="L11" s="60">
        <f t="shared" si="2"/>
        <v>12320.636</v>
      </c>
    </row>
    <row r="12" spans="2:12" x14ac:dyDescent="0.3">
      <c r="B12" s="23">
        <v>8</v>
      </c>
      <c r="C12" s="24">
        <v>44774</v>
      </c>
      <c r="D12" s="107">
        <v>8493101</v>
      </c>
      <c r="E12" s="108"/>
      <c r="F12" s="109"/>
      <c r="G12" s="107">
        <f t="shared" si="0"/>
        <v>8493101</v>
      </c>
      <c r="H12" s="108"/>
      <c r="I12" s="108"/>
      <c r="J12" s="109"/>
      <c r="K12" s="23">
        <f t="shared" si="1"/>
        <v>8493.1010000000006</v>
      </c>
      <c r="L12" s="60">
        <f t="shared" si="2"/>
        <v>8493.1010000000006</v>
      </c>
    </row>
    <row r="13" spans="2:12" x14ac:dyDescent="0.3">
      <c r="B13" s="23">
        <v>9</v>
      </c>
      <c r="C13" s="24">
        <v>44805</v>
      </c>
      <c r="D13" s="107">
        <v>5304918</v>
      </c>
      <c r="E13" s="108"/>
      <c r="F13" s="109"/>
      <c r="G13" s="107">
        <f t="shared" si="0"/>
        <v>5304918</v>
      </c>
      <c r="H13" s="108"/>
      <c r="I13" s="108"/>
      <c r="J13" s="109"/>
      <c r="K13" s="23">
        <f t="shared" si="1"/>
        <v>5304.9179999999997</v>
      </c>
      <c r="L13" s="60">
        <f t="shared" si="2"/>
        <v>5304.9179999999997</v>
      </c>
    </row>
    <row r="14" spans="2:12" x14ac:dyDescent="0.3">
      <c r="B14" s="23">
        <v>10</v>
      </c>
      <c r="C14" s="24">
        <v>44835</v>
      </c>
      <c r="D14" s="107">
        <v>3935716</v>
      </c>
      <c r="E14" s="108"/>
      <c r="F14" s="109"/>
      <c r="G14" s="107">
        <f t="shared" si="0"/>
        <v>3935716</v>
      </c>
      <c r="H14" s="108"/>
      <c r="I14" s="108"/>
      <c r="J14" s="109"/>
      <c r="K14" s="23">
        <f t="shared" si="1"/>
        <v>3935.7159999999999</v>
      </c>
      <c r="L14" s="60">
        <f t="shared" si="2"/>
        <v>3935.7159999999999</v>
      </c>
    </row>
    <row r="15" spans="2:12" x14ac:dyDescent="0.3">
      <c r="B15" s="23">
        <v>11</v>
      </c>
      <c r="C15" s="24">
        <v>44866</v>
      </c>
      <c r="D15" s="107">
        <v>3887711</v>
      </c>
      <c r="E15" s="108"/>
      <c r="F15" s="109"/>
      <c r="G15" s="107">
        <f t="shared" si="0"/>
        <v>3887711</v>
      </c>
      <c r="H15" s="108"/>
      <c r="I15" s="108"/>
      <c r="J15" s="109"/>
      <c r="K15" s="23">
        <f t="shared" si="1"/>
        <v>3887.7109999999998</v>
      </c>
      <c r="L15" s="60">
        <f>K15-K15*0.2%</f>
        <v>3879.9355779999996</v>
      </c>
    </row>
    <row r="16" spans="2:12" x14ac:dyDescent="0.3">
      <c r="B16" s="23">
        <v>12</v>
      </c>
      <c r="C16" s="24">
        <v>44896</v>
      </c>
      <c r="D16" s="107">
        <v>6916726</v>
      </c>
      <c r="E16" s="108"/>
      <c r="F16" s="109"/>
      <c r="G16" s="107">
        <f t="shared" si="0"/>
        <v>6916726</v>
      </c>
      <c r="H16" s="108"/>
      <c r="I16" s="108"/>
      <c r="J16" s="109"/>
      <c r="K16" s="23">
        <f t="shared" si="1"/>
        <v>6916.7259999999997</v>
      </c>
      <c r="L16" s="60">
        <f t="shared" ref="L16" si="3">K16-K16*0.2%</f>
        <v>6902.8925479999998</v>
      </c>
    </row>
    <row r="17" spans="2:12" x14ac:dyDescent="0.3">
      <c r="B17" s="25" t="s">
        <v>1</v>
      </c>
      <c r="C17" s="25"/>
      <c r="D17" s="99">
        <f>SUM(D5:F16)</f>
        <v>100162373</v>
      </c>
      <c r="E17" s="100"/>
      <c r="F17" s="101"/>
      <c r="G17" s="102">
        <f t="shared" si="0"/>
        <v>100162373</v>
      </c>
      <c r="H17" s="103"/>
      <c r="I17" s="103"/>
      <c r="J17" s="104"/>
      <c r="K17" s="25">
        <f>SUM(K5:K16)</f>
        <v>100162.37299999999</v>
      </c>
      <c r="L17" s="61">
        <f>SUM(L5:L16)</f>
        <v>100140.76412600001</v>
      </c>
    </row>
  </sheetData>
  <mergeCells count="33">
    <mergeCell ref="B2:B4"/>
    <mergeCell ref="C2:C4"/>
    <mergeCell ref="G3:J4"/>
    <mergeCell ref="D3:F4"/>
    <mergeCell ref="D5:F5"/>
    <mergeCell ref="D6:F6"/>
    <mergeCell ref="D7:F7"/>
    <mergeCell ref="D8:F8"/>
    <mergeCell ref="D9:F9"/>
    <mergeCell ref="G15:J15"/>
    <mergeCell ref="G14:J14"/>
    <mergeCell ref="G16:J16"/>
    <mergeCell ref="D10:F10"/>
    <mergeCell ref="D11:F11"/>
    <mergeCell ref="D12:F12"/>
    <mergeCell ref="D13:F13"/>
    <mergeCell ref="D14:F14"/>
    <mergeCell ref="L3:L4"/>
    <mergeCell ref="D2:L2"/>
    <mergeCell ref="D17:F17"/>
    <mergeCell ref="G17:J17"/>
    <mergeCell ref="K3:K4"/>
    <mergeCell ref="D15:F15"/>
    <mergeCell ref="D16:F16"/>
    <mergeCell ref="G5:J5"/>
    <mergeCell ref="G6:J6"/>
    <mergeCell ref="G7:J7"/>
    <mergeCell ref="G8:J8"/>
    <mergeCell ref="G9:J9"/>
    <mergeCell ref="G10:J10"/>
    <mergeCell ref="G11:J11"/>
    <mergeCell ref="G12:J12"/>
    <mergeCell ref="G13:J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G16"/>
  <sheetViews>
    <sheetView workbookViewId="0">
      <selection activeCell="H14" sqref="H14"/>
    </sheetView>
  </sheetViews>
  <sheetFormatPr defaultColWidth="8.77734375" defaultRowHeight="14.4" x14ac:dyDescent="0.3"/>
  <cols>
    <col min="3" max="3" width="19.77734375" bestFit="1" customWidth="1"/>
    <col min="4" max="4" width="20.88671875" bestFit="1" customWidth="1"/>
    <col min="5" max="5" width="21.109375" bestFit="1" customWidth="1"/>
    <col min="6" max="6" width="19.88671875" bestFit="1" customWidth="1"/>
    <col min="7" max="7" width="13.77734375" customWidth="1"/>
    <col min="8" max="8" width="12.33203125" customWidth="1"/>
    <col min="16" max="16" width="18.77734375" customWidth="1"/>
    <col min="17" max="17" width="18.44140625" customWidth="1"/>
    <col min="18" max="18" width="16.109375" customWidth="1"/>
    <col min="19" max="19" width="18.109375" customWidth="1"/>
    <col min="20" max="20" width="11.6640625" customWidth="1"/>
  </cols>
  <sheetData>
    <row r="2" spans="1:7" x14ac:dyDescent="0.3">
      <c r="A2" s="120" t="s">
        <v>23</v>
      </c>
      <c r="B2" s="120" t="s">
        <v>34</v>
      </c>
      <c r="C2" s="84" t="s">
        <v>39</v>
      </c>
      <c r="D2" s="84" t="s">
        <v>40</v>
      </c>
      <c r="E2" s="84" t="s">
        <v>38</v>
      </c>
      <c r="F2" s="84" t="s">
        <v>41</v>
      </c>
      <c r="G2" s="84" t="s">
        <v>49</v>
      </c>
    </row>
    <row r="3" spans="1:7" x14ac:dyDescent="0.3">
      <c r="A3" s="121"/>
      <c r="B3" s="121"/>
      <c r="C3" s="84"/>
      <c r="D3" s="84"/>
      <c r="E3" s="84"/>
      <c r="F3" s="84"/>
      <c r="G3" s="84"/>
    </row>
    <row r="4" spans="1:7" x14ac:dyDescent="0.3">
      <c r="A4" s="23">
        <v>1</v>
      </c>
      <c r="B4" s="24">
        <v>44562</v>
      </c>
      <c r="C4" s="4">
        <f>'50MW_AP'!P5</f>
        <v>6725.9650006000102</v>
      </c>
      <c r="D4" s="4">
        <f>'260MW_RJ'!AF6</f>
        <v>32925.360000000124</v>
      </c>
      <c r="E4" s="4">
        <f>'250MW_MP'!Y6</f>
        <v>32000</v>
      </c>
      <c r="F4" s="4">
        <f>'50MW_GJ'!L5</f>
        <v>7847.7380000000003</v>
      </c>
      <c r="G4" s="4">
        <f>SUM(C4:F4)</f>
        <v>79499.06300060013</v>
      </c>
    </row>
    <row r="5" spans="1:7" x14ac:dyDescent="0.3">
      <c r="A5" s="23">
        <v>2</v>
      </c>
      <c r="B5" s="24">
        <v>44593</v>
      </c>
      <c r="C5" s="4">
        <f>'50MW_AP'!P6</f>
        <v>7182.5976737999936</v>
      </c>
      <c r="D5" s="4">
        <f>'260MW_RJ'!AF7</f>
        <v>36513.659999999909</v>
      </c>
      <c r="E5" s="4">
        <f>'250MW_MP'!Y7</f>
        <v>35456.000000000189</v>
      </c>
      <c r="F5" s="4">
        <f>'50MW_GJ'!L6</f>
        <v>5995.35</v>
      </c>
      <c r="G5" s="4">
        <f t="shared" ref="G5:G15" si="0">SUM(C5:F5)</f>
        <v>85147.607673800099</v>
      </c>
    </row>
    <row r="6" spans="1:7" x14ac:dyDescent="0.3">
      <c r="A6" s="23">
        <v>3</v>
      </c>
      <c r="B6" s="24">
        <v>44621</v>
      </c>
      <c r="C6" s="4">
        <f>'50MW_AP'!P7</f>
        <v>7148.0308497999777</v>
      </c>
      <c r="D6" s="4">
        <f>'260MW_RJ'!AF8</f>
        <v>40559.760000000017</v>
      </c>
      <c r="E6" s="4">
        <f>'250MW_MP'!Y8</f>
        <v>37890.911999999858</v>
      </c>
      <c r="F6" s="4">
        <f>'50MW_GJ'!L7</f>
        <v>9012.2549999999992</v>
      </c>
      <c r="G6" s="4">
        <f t="shared" si="0"/>
        <v>94610.957849799859</v>
      </c>
    </row>
    <row r="7" spans="1:7" x14ac:dyDescent="0.3">
      <c r="A7" s="23">
        <v>4</v>
      </c>
      <c r="B7" s="24">
        <v>44652</v>
      </c>
      <c r="C7" s="4">
        <f>'50MW_AP'!P8</f>
        <v>7097.5046638000022</v>
      </c>
      <c r="D7" s="4">
        <f>'260MW_RJ'!AF9</f>
        <v>38197.56</v>
      </c>
      <c r="E7" s="4">
        <f>'250MW_MP'!Y9</f>
        <v>36182.528000000093</v>
      </c>
      <c r="F7" s="4">
        <f>'50MW_GJ'!L8</f>
        <v>10104.119000000001</v>
      </c>
      <c r="G7" s="4">
        <f>SUM(C7:F7)</f>
        <v>91581.711663800103</v>
      </c>
    </row>
    <row r="8" spans="1:7" x14ac:dyDescent="0.3">
      <c r="A8" s="23">
        <v>5</v>
      </c>
      <c r="B8" s="24">
        <v>44682</v>
      </c>
      <c r="C8" s="4">
        <f>'50MW_AP'!P9</f>
        <v>6295.6546664000107</v>
      </c>
      <c r="D8" s="4">
        <f>'260MW_RJ'!AF10</f>
        <v>37803.899999999972</v>
      </c>
      <c r="E8" s="4">
        <f>'250MW_MP'!Y10</f>
        <v>38066.752000000015</v>
      </c>
      <c r="F8" s="4">
        <f>'50MW_GJ'!L9</f>
        <v>16454.463</v>
      </c>
      <c r="G8" s="4">
        <f t="shared" si="0"/>
        <v>98620.769666399996</v>
      </c>
    </row>
    <row r="9" spans="1:7" x14ac:dyDescent="0.3">
      <c r="A9" s="23">
        <v>6</v>
      </c>
      <c r="B9" s="24">
        <v>44713</v>
      </c>
      <c r="C9" s="4">
        <f>'50MW_AP'!P10</f>
        <v>6541.2133196000086</v>
      </c>
      <c r="D9" s="4">
        <f>'260MW_RJ'!AF11</f>
        <v>36920.760000000031</v>
      </c>
      <c r="E9" s="4">
        <f>'250MW_MP'!Y11</f>
        <v>32078.752000000015</v>
      </c>
      <c r="F9" s="4">
        <f>'50MW_GJ'!L10</f>
        <v>9889.64</v>
      </c>
      <c r="G9" s="4">
        <f t="shared" si="0"/>
        <v>85430.365319600052</v>
      </c>
    </row>
    <row r="10" spans="1:7" x14ac:dyDescent="0.3">
      <c r="A10" s="23">
        <v>7</v>
      </c>
      <c r="B10" s="24">
        <v>44743</v>
      </c>
      <c r="C10" s="4">
        <f>'50MW_AP'!P11</f>
        <v>5500.4012942000027</v>
      </c>
      <c r="D10" s="4">
        <f>'260MW_RJ'!AF12</f>
        <v>31246.979999999985</v>
      </c>
      <c r="E10" s="4">
        <f>'250MW_MP'!Y12</f>
        <v>22881.119999999926</v>
      </c>
      <c r="F10" s="4">
        <f>'50MW_GJ'!L11</f>
        <v>12320.636</v>
      </c>
      <c r="G10" s="4">
        <f t="shared" si="0"/>
        <v>71949.137294199914</v>
      </c>
    </row>
    <row r="11" spans="1:7" x14ac:dyDescent="0.3">
      <c r="A11" s="23">
        <v>8</v>
      </c>
      <c r="B11" s="24">
        <v>44774</v>
      </c>
      <c r="C11" s="4">
        <f>'50MW_AP'!P12</f>
        <v>6028.0820090000125</v>
      </c>
      <c r="D11" s="4">
        <f>'260MW_RJ'!AF13</f>
        <v>32508</v>
      </c>
      <c r="E11" s="4">
        <f>'250MW_MP'!Y13</f>
        <v>24270.400000000038</v>
      </c>
      <c r="F11" s="4">
        <f>'50MW_GJ'!L12</f>
        <v>8493.1010000000006</v>
      </c>
      <c r="G11" s="4">
        <f t="shared" si="0"/>
        <v>71299.583009000053</v>
      </c>
    </row>
    <row r="12" spans="1:7" x14ac:dyDescent="0.3">
      <c r="A12" s="23">
        <v>9</v>
      </c>
      <c r="B12" s="24">
        <v>44805</v>
      </c>
      <c r="C12" s="4">
        <f>'50MW_AP'!P13</f>
        <v>5952.902007039962</v>
      </c>
      <c r="D12" s="4">
        <f>'260MW_RJ'!AF14</f>
        <v>36777.239999999969</v>
      </c>
      <c r="E12" s="4">
        <f>'250MW_MP'!Y14</f>
        <v>27831.199999999964</v>
      </c>
      <c r="F12" s="4">
        <f>'50MW_GJ'!L13</f>
        <v>5304.9179999999997</v>
      </c>
      <c r="G12" s="4">
        <f t="shared" si="0"/>
        <v>75866.260007039906</v>
      </c>
    </row>
    <row r="13" spans="1:7" x14ac:dyDescent="0.3">
      <c r="A13" s="23">
        <v>10</v>
      </c>
      <c r="B13" s="24">
        <v>44835</v>
      </c>
      <c r="C13" s="4">
        <f>'50MW_AP'!P14</f>
        <v>5884.9188773600063</v>
      </c>
      <c r="D13" s="4">
        <f>'260MW_RJ'!AF15</f>
        <v>38961.120000000083</v>
      </c>
      <c r="E13" s="4">
        <f>'250MW_MP'!Y15</f>
        <v>33052.607999999993</v>
      </c>
      <c r="F13" s="4">
        <f>'50MW_GJ'!L14</f>
        <v>3935.7159999999999</v>
      </c>
      <c r="G13" s="4">
        <f t="shared" si="0"/>
        <v>81834.362877360079</v>
      </c>
    </row>
    <row r="14" spans="1:7" x14ac:dyDescent="0.3">
      <c r="A14" s="23">
        <v>11</v>
      </c>
      <c r="B14" s="24">
        <v>44866</v>
      </c>
      <c r="C14" s="4">
        <f>'50MW_AP'!P15</f>
        <v>4966.8115384000039</v>
      </c>
      <c r="D14" s="4">
        <f>'260MW_RJ'!AF16</f>
        <v>33595.439999999937</v>
      </c>
      <c r="E14" s="4">
        <f>'250MW_MP'!Y16</f>
        <v>31711.359999999957</v>
      </c>
      <c r="F14" s="4">
        <f>'50MW_GJ'!L15</f>
        <v>3879.9355779999996</v>
      </c>
      <c r="G14" s="4">
        <f>SUM(C14:F14)</f>
        <v>74153.547116399903</v>
      </c>
    </row>
    <row r="15" spans="1:7" x14ac:dyDescent="0.3">
      <c r="A15" s="23">
        <v>12</v>
      </c>
      <c r="B15" s="24">
        <v>44896</v>
      </c>
      <c r="C15" s="4">
        <f>'50MW_AP'!P16</f>
        <v>5498.3657173999945</v>
      </c>
      <c r="D15" s="4">
        <f>'260MW_RJ'!AF17</f>
        <v>35135.099999999969</v>
      </c>
      <c r="E15" s="4">
        <f>'250MW_MP'!Y17</f>
        <v>30385.952000000059</v>
      </c>
      <c r="F15" s="4">
        <f>'50MW_GJ'!L16</f>
        <v>6902.8925479999998</v>
      </c>
      <c r="G15" s="4">
        <f t="shared" si="0"/>
        <v>77922.310265400025</v>
      </c>
    </row>
    <row r="16" spans="1:7" x14ac:dyDescent="0.3">
      <c r="A16" s="25" t="s">
        <v>1</v>
      </c>
      <c r="B16" s="25"/>
      <c r="C16" s="51">
        <f>SUM(C4:C15)</f>
        <v>74822.447617399986</v>
      </c>
      <c r="D16" s="51">
        <f>SUM(D4:D15)</f>
        <v>431144.88</v>
      </c>
      <c r="E16" s="51">
        <f>SUM(E4:E15)</f>
        <v>381807.58400000003</v>
      </c>
      <c r="F16" s="51">
        <f>SUM(F4:F15)</f>
        <v>100140.76412600001</v>
      </c>
      <c r="G16" s="51">
        <f>SUM(G4:G15)</f>
        <v>987915.6757434</v>
      </c>
    </row>
  </sheetData>
  <mergeCells count="7">
    <mergeCell ref="A2:A3"/>
    <mergeCell ref="B2:B3"/>
    <mergeCell ref="G2:G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3:H12"/>
  <sheetViews>
    <sheetView zoomScale="134" workbookViewId="0">
      <selection activeCell="D16" sqref="D16"/>
    </sheetView>
  </sheetViews>
  <sheetFormatPr defaultColWidth="8.77734375" defaultRowHeight="14.4" x14ac:dyDescent="0.3"/>
  <cols>
    <col min="2" max="2" width="56.33203125" bestFit="1" customWidth="1"/>
    <col min="3" max="7" width="9.77734375" bestFit="1" customWidth="1"/>
  </cols>
  <sheetData>
    <row r="3" spans="2:8" x14ac:dyDescent="0.3">
      <c r="B3" s="5" t="s">
        <v>71</v>
      </c>
    </row>
    <row r="4" spans="2:8" x14ac:dyDescent="0.3">
      <c r="B4" s="6"/>
      <c r="C4" s="6" t="s">
        <v>2</v>
      </c>
      <c r="D4" s="6" t="s">
        <v>3</v>
      </c>
      <c r="E4" s="7" t="s">
        <v>4</v>
      </c>
      <c r="F4" s="7" t="s">
        <v>13</v>
      </c>
    </row>
    <row r="5" spans="2:8" x14ac:dyDescent="0.3">
      <c r="B5" s="11" t="s">
        <v>15</v>
      </c>
      <c r="C5" s="9">
        <v>44562</v>
      </c>
      <c r="D5" s="9">
        <v>44562</v>
      </c>
      <c r="E5" s="9">
        <v>44562</v>
      </c>
      <c r="F5" s="9">
        <v>44562</v>
      </c>
    </row>
    <row r="6" spans="2:8" x14ac:dyDescent="0.3">
      <c r="B6" s="8" t="s">
        <v>14</v>
      </c>
      <c r="C6" s="9">
        <v>44926</v>
      </c>
      <c r="D6" s="9">
        <v>44926</v>
      </c>
      <c r="E6" s="9">
        <v>44926</v>
      </c>
      <c r="F6" s="9">
        <v>44926</v>
      </c>
    </row>
    <row r="7" spans="2:8" x14ac:dyDescent="0.3">
      <c r="B7" s="8" t="s">
        <v>69</v>
      </c>
      <c r="C7" s="10">
        <f>'Emission Reduction'!E28</f>
        <v>72226.108685076208</v>
      </c>
      <c r="D7" s="10">
        <f>'Emission Reduction'!E29</f>
        <v>416184.15266400005</v>
      </c>
      <c r="E7" s="4">
        <f>'Emission Reduction'!E30</f>
        <v>368558.86083520006</v>
      </c>
      <c r="F7" s="4">
        <f>'Emission Reduction'!E31</f>
        <v>96665.879610827818</v>
      </c>
      <c r="H7" s="17"/>
    </row>
    <row r="10" spans="2:8" x14ac:dyDescent="0.3">
      <c r="B10" s="23" t="s">
        <v>68</v>
      </c>
      <c r="C10" s="23">
        <v>940891</v>
      </c>
      <c r="D10" s="18"/>
      <c r="E10" s="18"/>
    </row>
    <row r="11" spans="2:8" x14ac:dyDescent="0.3">
      <c r="B11" s="23" t="s">
        <v>67</v>
      </c>
      <c r="C11" s="22">
        <f>C7+D7+E7+F7</f>
        <v>953635.00179510412</v>
      </c>
    </row>
    <row r="12" spans="2:8" x14ac:dyDescent="0.3">
      <c r="B12" s="8" t="s">
        <v>70</v>
      </c>
      <c r="C12" s="122">
        <f>(C11-C10)/C11</f>
        <v>1.3363605332349442E-2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H t 0 V r b R x V e l A A A A 9 g A A A B I A H A B D b 2 5 m a W c v U G F j a 2 F n Z S 5 4 b W w g o h g A K K A U A A A A A A A A A A A A A A A A A A A A A A A A A A A A h Y 8 x D o I w G I W v Q r r T l m o M I a U M T i Z i T E y M a 1 M q N M K P o c V y N w e P 5 B X E K O r m + L 7 3 D e / d r z e e D U 0 d X H R n T Q s p i j B F g Q b V F g b K F P X u G M Y o E 3 w r 1 U m W O h h l s M l g i x R V z p 0 T Q r z 3 2 M 9 w 2 5 W E U R q R Q 7 7 e q U o 3 E n 1 k 8 1 8 O D V g n Q W k k + P 4 1 R j A c R X M c L x i m n E y Q 5 w a + A h v 3 P t s f y J d 9 7 f p O C w 3 h a s P J F D l 5 f x A P U E s D B B Q A A g A I A H B 7 d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e 3 R W K I p H u A 4 A A A A R A A A A E w A c A E Z v c m 1 1 b G F z L 1 N l Y 3 R p b 2 4 x L m 0 g o h g A K K A U A A A A A A A A A A A A A A A A A A A A A A A A A A A A K 0 5 N L s n M z 1 M I h t C G 1 g B Q S w E C L Q A U A A I A C A B w e 3 R W t t H F V 6 U A A A D 2 A A A A E g A A A A A A A A A A A A A A A A A A A A A A Q 2 9 u Z m l n L 1 B h Y 2 t h Z 2 U u e G 1 s U E s B A i 0 A F A A C A A g A c H t 0 V g / K 6 a u k A A A A 6 Q A A A B M A A A A A A A A A A A A A A A A A 8 Q A A A F t D b 2 5 0 Z W 5 0 X 1 R 5 c G V z X S 5 4 b W x Q S w E C L Q A U A A I A C A B w e 3 R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h K 7 g v / K L 0 G Q V S k p 5 A 3 e J g A A A A A C A A A A A A A Q Z g A A A A E A A C A A A A A b m h F c E M p Q h V u L i Z 0 B b a 7 x V 5 5 P I i g 5 T b x Y 3 / J 1 R U z N i g A A A A A O g A A A A A I A A C A A A A B w I R w Y y t J k f 5 h 2 H V 6 q h w 0 O z d N D 5 w c n r k N A d t / N 4 l I m 9 1 A A A A D A U k p F K P 2 Y T r v m H R f c B Y X O 3 / k 6 f c + I 9 A G 0 o k 6 f w Y R u p w p Y z z 8 t J R S 9 z 3 U I F n K U v R t D a i z r / e A K u w 2 I h b P r i e 5 m m g B G l L Y V c m f J Y D t 4 n 8 G b g k A A A A D L h w r g W O I W J 7 v d f m Q F 3 k I L O h g N Y p 8 6 C 3 1 H t 2 c G 3 5 2 f 0 8 Y r y k H T 0 f D p W V o 7 I O T A n E b p v i 8 u E M Q Y q + 8 8 J 6 P G 9 D N J < / D a t a M a s h u p > 
</file>

<file path=customXml/itemProps1.xml><?xml version="1.0" encoding="utf-8"?>
<ds:datastoreItem xmlns:ds="http://schemas.openxmlformats.org/officeDocument/2006/customXml" ds:itemID="{DE9DFD4E-131C-42DD-886D-DD92378ADB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Emission Reduction</vt:lpstr>
      <vt:lpstr>50MW_AP</vt:lpstr>
      <vt:lpstr>260MW_RJ</vt:lpstr>
      <vt:lpstr>250MW_MP</vt:lpstr>
      <vt:lpstr>50MW_GJ</vt:lpstr>
      <vt:lpstr>Total</vt:lpstr>
      <vt:lpstr>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Naveen kumar</cp:lastModifiedBy>
  <dcterms:created xsi:type="dcterms:W3CDTF">2015-06-05T18:17:20Z</dcterms:created>
  <dcterms:modified xsi:type="dcterms:W3CDTF">2024-05-17T06:20:51Z</dcterms:modified>
</cp:coreProperties>
</file>