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airclimatefundorg.sharepoint.com/sites/FCF/Documents/FCF/03.Projects/01. Contracted/06. Solar Cookers - Chad/02. Carbon - GS/GS Cycle/D. Monitoring/6th MP (2024) - Iridimi &amp; Touloum/30. ER/"/>
    </mc:Choice>
  </mc:AlternateContent>
  <xr:revisionPtr revIDLastSave="321" documentId="13_ncr:1_{7563D4AC-B23C-403E-B0BC-919CCAF18C36}" xr6:coauthVersionLast="47" xr6:coauthVersionMax="47" xr10:uidLastSave="{96EA2647-F480-496B-958D-B9B259F8074F}"/>
  <bookViews>
    <workbookView xWindow="-110" yWindow="-110" windowWidth="19420" windowHeight="11500" activeTab="3" xr2:uid="{5A378CE5-959A-44DD-B522-2B2AF0C835E0}"/>
  </bookViews>
  <sheets>
    <sheet name="Input" sheetId="15" r:id="rId1"/>
    <sheet name="EF calculation" sheetId="16" r:id="rId2"/>
    <sheet name="ER Results" sheetId="13" r:id="rId3"/>
    <sheet name="Calculation" sheetId="1" r:id="rId4"/>
  </sheet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I50" i="1"/>
  <c r="J50" i="1"/>
  <c r="K50" i="1"/>
  <c r="L50" i="1"/>
  <c r="H43" i="1"/>
  <c r="I43" i="1"/>
  <c r="J43" i="1"/>
  <c r="K43" i="1"/>
  <c r="H39" i="1"/>
  <c r="I39" i="1"/>
  <c r="J39" i="1"/>
  <c r="K39" i="1"/>
  <c r="H34" i="1"/>
  <c r="I34" i="1"/>
  <c r="J34" i="1"/>
  <c r="K34" i="1"/>
  <c r="I20" i="1"/>
  <c r="J20" i="1"/>
  <c r="K20" i="1"/>
  <c r="L20" i="1"/>
  <c r="H20" i="1"/>
  <c r="H13" i="1" l="1"/>
  <c r="I13" i="1"/>
  <c r="J13" i="1"/>
  <c r="K13" i="1"/>
  <c r="L13" i="1"/>
  <c r="H9" i="1"/>
  <c r="I9" i="1"/>
  <c r="J9" i="1"/>
  <c r="K9" i="1"/>
  <c r="H4" i="1"/>
  <c r="I4" i="1"/>
  <c r="J4" i="1"/>
  <c r="K4" i="1"/>
  <c r="P21" i="15" l="1"/>
  <c r="C32" i="1"/>
  <c r="C2" i="1"/>
  <c r="K23" i="15"/>
  <c r="B8" i="13" s="1"/>
  <c r="K22" i="15"/>
  <c r="B7" i="13" s="1"/>
  <c r="C34" i="15"/>
  <c r="C33" i="15"/>
  <c r="H37" i="1" l="1"/>
  <c r="I37" i="1"/>
  <c r="J37" i="1"/>
  <c r="K37" i="1"/>
  <c r="L37" i="1"/>
  <c r="L7" i="1"/>
  <c r="I7" i="1"/>
  <c r="K7" i="1"/>
  <c r="H7" i="1"/>
  <c r="J7" i="1"/>
  <c r="H3" i="1"/>
  <c r="I3" i="1" s="1"/>
  <c r="E33" i="15" l="1"/>
  <c r="J18" i="1" s="1"/>
  <c r="E38" i="15" l="1"/>
  <c r="E37" i="15" l="1"/>
  <c r="C5" i="16"/>
  <c r="C4" i="16"/>
  <c r="C3" i="16"/>
  <c r="C2" i="16"/>
  <c r="H33" i="1" l="1"/>
  <c r="I33" i="1" s="1"/>
  <c r="J33" i="1" s="1"/>
  <c r="K33" i="1" s="1"/>
  <c r="E34" i="15"/>
  <c r="J48" i="1" s="1"/>
  <c r="I49" i="1"/>
  <c r="I40" i="1"/>
  <c r="I41" i="1"/>
  <c r="I42" i="1"/>
  <c r="J49" i="1"/>
  <c r="J40" i="1"/>
  <c r="J41" i="1"/>
  <c r="J42" i="1"/>
  <c r="K49" i="1"/>
  <c r="K40" i="1"/>
  <c r="K41" i="1"/>
  <c r="K42" i="1"/>
  <c r="L49" i="1"/>
  <c r="L39" i="1"/>
  <c r="L40" i="1"/>
  <c r="L41" i="1"/>
  <c r="L42" i="1"/>
  <c r="L43" i="1"/>
  <c r="H49" i="1"/>
  <c r="H40" i="1"/>
  <c r="H41" i="1"/>
  <c r="H42" i="1"/>
  <c r="L12" i="15"/>
  <c r="M12" i="15" s="1"/>
  <c r="M13" i="15" s="1"/>
  <c r="K18" i="1"/>
  <c r="L18" i="1"/>
  <c r="L17" i="1" s="1"/>
  <c r="L9" i="1"/>
  <c r="H19" i="1"/>
  <c r="I19" i="1"/>
  <c r="I10" i="1"/>
  <c r="I11" i="1"/>
  <c r="I12" i="1"/>
  <c r="J19" i="1"/>
  <c r="J10" i="1"/>
  <c r="J11" i="1"/>
  <c r="J12" i="1"/>
  <c r="K19" i="1"/>
  <c r="K10" i="1"/>
  <c r="K11" i="1"/>
  <c r="K12" i="1"/>
  <c r="L19" i="1"/>
  <c r="L10" i="1"/>
  <c r="L11" i="1"/>
  <c r="L12" i="1"/>
  <c r="H10" i="1"/>
  <c r="H11" i="1"/>
  <c r="H12" i="1"/>
  <c r="D28" i="15"/>
  <c r="C28" i="15"/>
  <c r="K48" i="1" l="1"/>
  <c r="I48" i="1"/>
  <c r="H48" i="1"/>
  <c r="I18" i="1"/>
  <c r="H18" i="1"/>
  <c r="J3" i="1"/>
  <c r="L48" i="1"/>
  <c r="L13" i="15"/>
  <c r="L33" i="1"/>
  <c r="N12" i="15"/>
  <c r="O12" i="15" s="1"/>
  <c r="P12" i="15" s="1"/>
  <c r="P13" i="15" l="1"/>
  <c r="Q12" i="15"/>
  <c r="Q13" i="15" s="1"/>
  <c r="O13" i="15"/>
  <c r="Q21" i="15"/>
  <c r="N13" i="15"/>
  <c r="K3" i="1"/>
  <c r="L3" i="1" s="1"/>
  <c r="D6" i="13"/>
  <c r="L21" i="15"/>
  <c r="E6" i="13"/>
  <c r="M21" i="15"/>
  <c r="F6" i="13" l="1"/>
  <c r="N21" i="15"/>
  <c r="O21" i="15" l="1"/>
  <c r="G6" i="13"/>
  <c r="L34" i="1" l="1"/>
  <c r="L4" i="1"/>
  <c r="H6" i="13" s="1"/>
  <c r="L47" i="1" l="1"/>
  <c r="L38" i="1" s="1"/>
  <c r="L60" i="1" s="1"/>
  <c r="L36" i="1" l="1"/>
  <c r="L55" i="1" s="1"/>
  <c r="L57" i="1" s="1"/>
  <c r="H8" i="13" s="1"/>
  <c r="K47" i="1"/>
  <c r="K38" i="1" s="1"/>
  <c r="K60" i="1" s="1"/>
  <c r="K17" i="1"/>
  <c r="K8" i="1" s="1"/>
  <c r="K28" i="1" s="1"/>
  <c r="K6" i="1" l="1"/>
  <c r="L8" i="1"/>
  <c r="L28" i="1" s="1"/>
  <c r="J17" i="1"/>
  <c r="J8" i="1" s="1"/>
  <c r="J47" i="1"/>
  <c r="J38" i="1" s="1"/>
  <c r="L6" i="1" l="1"/>
  <c r="L23" i="1" s="1"/>
  <c r="L25" i="1" s="1"/>
  <c r="H7" i="13" s="1"/>
  <c r="I47" i="1"/>
  <c r="H47" i="1"/>
  <c r="I17" i="1"/>
  <c r="H17" i="1"/>
  <c r="H38" i="1" l="1"/>
  <c r="I38" i="1"/>
  <c r="H8" i="1"/>
  <c r="I8" i="1"/>
  <c r="K36" i="1" l="1"/>
  <c r="K55" i="1" s="1"/>
  <c r="K57" i="1" s="1"/>
  <c r="G8" i="13" s="1"/>
  <c r="K23" i="1"/>
  <c r="K25" i="1" s="1"/>
  <c r="G7" i="13" s="1"/>
  <c r="I59" i="1" l="1"/>
  <c r="I36" i="1"/>
  <c r="I55" i="1" s="1"/>
  <c r="I57" i="1" s="1"/>
  <c r="E8" i="13" s="1"/>
  <c r="J59" i="1"/>
  <c r="J36" i="1"/>
  <c r="J55" i="1" s="1"/>
  <c r="J57" i="1" s="1"/>
  <c r="F8" i="13" s="1"/>
  <c r="I6" i="1"/>
  <c r="I23" i="1" s="1"/>
  <c r="I25" i="1" s="1"/>
  <c r="E7" i="13" s="1"/>
  <c r="I27" i="1"/>
  <c r="J27" i="1"/>
  <c r="J6" i="1"/>
  <c r="J23" i="1" s="1"/>
  <c r="J25" i="1" s="1"/>
  <c r="F7" i="13" s="1"/>
  <c r="H6" i="1"/>
  <c r="H23" i="1" s="1"/>
  <c r="H25" i="1" s="1"/>
  <c r="H27" i="1"/>
  <c r="H59" i="1"/>
  <c r="H36" i="1"/>
  <c r="H55" i="1" s="1"/>
  <c r="H57" i="1" s="1"/>
  <c r="D7" i="13" l="1"/>
  <c r="I7" i="13" s="1"/>
  <c r="G26" i="1"/>
  <c r="G58" i="1"/>
  <c r="D8" i="13"/>
  <c r="I8" i="13" l="1"/>
  <c r="J8" i="13" s="1"/>
  <c r="J7" i="13"/>
  <c r="I9" i="13" l="1"/>
  <c r="J9" i="13"/>
</calcChain>
</file>

<file path=xl/sharedStrings.xml><?xml version="1.0" encoding="utf-8"?>
<sst xmlns="http://schemas.openxmlformats.org/spreadsheetml/2006/main" count="191" uniqueCount="113">
  <si>
    <t>Monitoring period #</t>
  </si>
  <si>
    <t>Age group</t>
  </si>
  <si>
    <t>Monitoring period</t>
  </si>
  <si>
    <t>Start date</t>
  </si>
  <si>
    <t>End date</t>
  </si>
  <si>
    <t>Age group dependent</t>
  </si>
  <si>
    <t>N/A</t>
  </si>
  <si>
    <t xml:space="preserve">Up,y </t>
  </si>
  <si>
    <t>%</t>
  </si>
  <si>
    <t xml:space="preserve">DFb, Stove, y </t>
  </si>
  <si>
    <t xml:space="preserve">Project information </t>
  </si>
  <si>
    <t>Age group &amp; VPA dependent</t>
  </si>
  <si>
    <t>GS ID POA</t>
  </si>
  <si>
    <t>Crediting period</t>
  </si>
  <si>
    <t>Np,y  (active households)</t>
  </si>
  <si>
    <t>VPA #</t>
  </si>
  <si>
    <t>Crediting period - Start year</t>
  </si>
  <si>
    <t>Crediting period - End year</t>
  </si>
  <si>
    <t>Baseline cookstove type</t>
  </si>
  <si>
    <t xml:space="preserve">Project technology 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</si>
  <si>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</si>
  <si>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</si>
  <si>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</si>
  <si>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Baseline fuel consumption Option</t>
    <phoneticPr fontId="4" type="noConversion"/>
  </si>
  <si>
    <t>Household Size</t>
    <phoneticPr fontId="4" type="noConversion"/>
  </si>
  <si>
    <t xml:space="preserve">Fuelwood consumption </t>
    <phoneticPr fontId="4" type="noConversion"/>
  </si>
  <si>
    <t>persons per household</t>
  </si>
  <si>
    <t>tonnes per household per year</t>
    <phoneticPr fontId="4" type="noConversion"/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</si>
  <si>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</si>
  <si>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</si>
  <si>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</si>
  <si>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</si>
  <si>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</si>
  <si>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</si>
  <si>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</si>
  <si>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</si>
  <si>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</si>
  <si>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</si>
  <si>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</si>
  <si>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</si>
  <si>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</si>
  <si>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</si>
  <si>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</si>
  <si>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</si>
  <si>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</si>
  <si>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</si>
  <si>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</si>
  <si>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</si>
  <si>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</si>
  <si>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</si>
  <si>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</si>
  <si>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</si>
  <si>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</si>
  <si>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</si>
  <si>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</si>
  <si>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</si>
  <si>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</si>
  <si>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</t>
    <phoneticPr fontId="4" type="noConversion"/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</si>
  <si>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</si>
  <si>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</si>
  <si>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</si>
  <si>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</si>
  <si>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</si>
  <si>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</si>
  <si>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</si>
  <si>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</si>
  <si>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</si>
  <si>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</si>
  <si>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</si>
  <si>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</si>
  <si>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</si>
  <si>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</si>
  <si>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Age Group</t>
  </si>
  <si>
    <t>Total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</si>
  <si>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</si>
  <si>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</si>
  <si>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</si>
  <si>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</si>
  <si>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</si>
  <si>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</si>
  <si>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</si>
  <si>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</si>
  <si>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</si>
  <si>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</si>
  <si>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</si>
  <si>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</si>
  <si>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</si>
  <si>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</si>
  <si>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</si>
  <si>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</si>
  <si>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</si>
  <si>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</si>
  <si>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</si>
  <si>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</si>
  <si>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</si>
  <si>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>User defined</t>
  </si>
  <si>
    <t>tCO2</t>
  </si>
  <si>
    <t>NET EMISSION REDUCTION PER AGE GROUP</t>
  </si>
  <si>
    <t>TOTAL EMISSION REDUCTION</t>
  </si>
  <si>
    <t>tCO2e</t>
  </si>
  <si>
    <t>Total capped</t>
  </si>
  <si>
    <t>MP2</t>
  </si>
  <si>
    <t>MP6</t>
  </si>
  <si>
    <t>VPA-01 Iridimi (GS3445)</t>
  </si>
  <si>
    <t>VPA-02 Touloum (GS12011)</t>
  </si>
  <si>
    <t>GS 1075</t>
  </si>
  <si>
    <t>Solar cookers</t>
  </si>
  <si>
    <t>Minimum service level</t>
  </si>
  <si>
    <t>Source: project database "VPA-1_Iridimi and VPA-2_Touloum DB and Sampling 20250207"</t>
  </si>
  <si>
    <t>Source: "PoA GS1075_MS2025 results_VPA-01 MP6_VPA-02 MP2"</t>
  </si>
  <si>
    <t>Total emission reductions</t>
  </si>
  <si>
    <t>three stone/banco</t>
  </si>
  <si>
    <t>Total non-renewable saved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</si>
</sst>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99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BD26D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3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8" fillId="0" borderId="0" xfId="0" applyFont="1"/>
    <xf numFmtId="2" fontId="9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  <xf numFmtId="1" fontId="9" fillId="2" borderId="2" xfId="1" applyNumberFormat="1" applyFont="1" applyFill="1" applyBorder="1" applyAlignment="1">
      <alignment horizontal="right"/>
    </xf>
    <xf numFmtId="0" fontId="12" fillId="4" borderId="4" xfId="0" applyFont="1" applyFill="1" applyBorder="1"/>
    <xf numFmtId="0" fontId="13" fillId="4" borderId="4" xfId="0" applyFont="1" applyFill="1" applyBorder="1" applyAlignment="1">
      <alignment horizontal="left"/>
    </xf>
    <xf numFmtId="0" fontId="13" fillId="4" borderId="4" xfId="0" applyFont="1" applyFill="1" applyBorder="1"/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9" fontId="13" fillId="4" borderId="4" xfId="0" applyNumberFormat="1" applyFont="1" applyFill="1" applyBorder="1" applyAlignment="1">
      <alignment horizontal="left"/>
    </xf>
    <xf numFmtId="9" fontId="13" fillId="4" borderId="1" xfId="0" applyNumberFormat="1" applyFont="1" applyFill="1" applyBorder="1" applyAlignment="1">
      <alignment horizontal="left"/>
    </xf>
    <xf numFmtId="10" fontId="5" fillId="6" borderId="3" xfId="1" applyNumberFormat="1" applyFont="1" applyFill="1" applyBorder="1" applyAlignment="1"/>
    <xf numFmtId="1" fontId="5" fillId="6" borderId="3" xfId="0" applyNumberFormat="1" applyFont="1" applyFill="1" applyBorder="1"/>
    <xf numFmtId="0" fontId="2" fillId="0" borderId="0" xfId="0" applyFont="1" applyAlignment="1">
      <alignment wrapText="1"/>
    </xf>
    <xf numFmtId="0" fontId="16" fillId="5" borderId="4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8" fillId="0" borderId="0" xfId="0" applyFont="1"/>
    <xf numFmtId="0" fontId="3" fillId="0" borderId="0" xfId="0" applyFont="1"/>
    <xf numFmtId="0" fontId="13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9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3" fontId="12" fillId="0" borderId="3" xfId="0" applyNumberFormat="1" applyFont="1" applyBorder="1"/>
    <xf numFmtId="3" fontId="19" fillId="0" borderId="3" xfId="1" applyNumberFormat="1" applyFont="1" applyFill="1" applyBorder="1" applyAlignment="1">
      <alignment horizontal="right"/>
    </xf>
    <xf numFmtId="2" fontId="13" fillId="4" borderId="1" xfId="0" applyNumberFormat="1" applyFont="1" applyFill="1" applyBorder="1" applyAlignment="1">
      <alignment horizontal="left"/>
    </xf>
    <xf numFmtId="2" fontId="13" fillId="4" borderId="1" xfId="0" applyNumberFormat="1" applyFont="1" applyFill="1" applyBorder="1" applyAlignment="1">
      <alignment horizontal="right"/>
    </xf>
    <xf numFmtId="3" fontId="2" fillId="0" borderId="0" xfId="0" applyNumberFormat="1" applyFont="1"/>
    <xf numFmtId="14" fontId="13" fillId="4" borderId="4" xfId="0" applyNumberFormat="1" applyFont="1" applyFill="1" applyBorder="1"/>
    <xf numFmtId="0" fontId="0" fillId="0" borderId="4" xfId="0" applyBorder="1"/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5" applyFont="1" applyFill="1" applyBorder="1" applyAlignment="1" applyProtection="1">
      <alignment horizontal="left"/>
    </xf>
    <xf numFmtId="0" fontId="20" fillId="3" borderId="1" xfId="5" applyFill="1" applyBorder="1" applyAlignment="1" applyProtection="1"/>
    <xf numFmtId="0" fontId="0" fillId="7" borderId="1" xfId="0" applyFill="1" applyBorder="1"/>
    <xf numFmtId="43" fontId="0" fillId="0" borderId="0" xfId="4" applyFont="1"/>
    <xf numFmtId="0" fontId="11" fillId="5" borderId="3" xfId="0" applyFont="1" applyFill="1" applyBorder="1" applyAlignment="1">
      <alignment horizontal="left"/>
    </xf>
    <xf numFmtId="14" fontId="13" fillId="4" borderId="26" xfId="0" applyNumberFormat="1" applyFont="1" applyFill="1" applyBorder="1"/>
    <xf numFmtId="10" fontId="4" fillId="3" borderId="0" xfId="1" applyNumberFormat="1" applyFont="1" applyFill="1" applyBorder="1" applyAlignment="1">
      <alignment horizontal="left"/>
    </xf>
    <xf numFmtId="165" fontId="0" fillId="0" borderId="0" xfId="4" applyNumberFormat="1" applyFont="1"/>
    <xf numFmtId="2" fontId="0" fillId="0" borderId="0" xfId="1" applyNumberFormat="1" applyFont="1"/>
    <xf numFmtId="2" fontId="0" fillId="0" borderId="0" xfId="0" applyNumberFormat="1"/>
    <xf numFmtId="0" fontId="11" fillId="5" borderId="13" xfId="0" applyFont="1" applyFill="1" applyBorder="1" applyAlignment="1">
      <alignment horizontal="left"/>
    </xf>
    <xf numFmtId="3" fontId="0" fillId="0" borderId="3" xfId="0" applyNumberFormat="1" applyBorder="1"/>
    <xf numFmtId="3" fontId="0" fillId="0" borderId="27" xfId="0" applyNumberFormat="1" applyBorder="1"/>
    <xf numFmtId="0" fontId="7" fillId="0" borderId="9" xfId="0" applyFont="1" applyBorder="1"/>
    <xf numFmtId="0" fontId="16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8" fillId="0" borderId="9" xfId="0" applyFont="1" applyBorder="1"/>
    <xf numFmtId="9" fontId="5" fillId="0" borderId="9" xfId="1" applyFont="1" applyFill="1" applyBorder="1" applyAlignment="1"/>
    <xf numFmtId="9" fontId="0" fillId="0" borderId="0" xfId="0" applyNumberFormat="1"/>
    <xf numFmtId="9" fontId="0" fillId="0" borderId="9" xfId="1" applyFont="1" applyFill="1" applyBorder="1"/>
    <xf numFmtId="3" fontId="12" fillId="0" borderId="9" xfId="0" applyNumberFormat="1" applyFont="1" applyBorder="1"/>
    <xf numFmtId="3" fontId="19" fillId="0" borderId="9" xfId="1" applyNumberFormat="1" applyFont="1" applyFill="1" applyBorder="1" applyAlignment="1">
      <alignment horizontal="right"/>
    </xf>
    <xf numFmtId="165" fontId="0" fillId="0" borderId="3" xfId="4" applyNumberFormat="1" applyFont="1" applyBorder="1"/>
    <xf numFmtId="14" fontId="13" fillId="4" borderId="3" xfId="0" applyNumberFormat="1" applyFont="1" applyFill="1" applyBorder="1"/>
    <xf numFmtId="0" fontId="10" fillId="8" borderId="15" xfId="0" applyFont="1" applyFill="1" applyBorder="1"/>
    <xf numFmtId="0" fontId="10" fillId="8" borderId="5" xfId="0" applyFont="1" applyFill="1" applyBorder="1" applyAlignment="1">
      <alignment vertical="center"/>
    </xf>
    <xf numFmtId="0" fontId="10" fillId="8" borderId="6" xfId="0" applyFont="1" applyFill="1" applyBorder="1" applyAlignment="1">
      <alignment vertical="center"/>
    </xf>
    <xf numFmtId="1" fontId="10" fillId="8" borderId="6" xfId="0" applyNumberFormat="1" applyFont="1" applyFill="1" applyBorder="1" applyAlignment="1">
      <alignment vertical="center"/>
    </xf>
    <xf numFmtId="0" fontId="10" fillId="8" borderId="10" xfId="0" applyFont="1" applyFill="1" applyBorder="1"/>
    <xf numFmtId="1" fontId="10" fillId="8" borderId="11" xfId="0" applyNumberFormat="1" applyFont="1" applyFill="1" applyBorder="1"/>
    <xf numFmtId="0" fontId="10" fillId="8" borderId="11" xfId="0" applyFont="1" applyFill="1" applyBorder="1"/>
    <xf numFmtId="0" fontId="3" fillId="8" borderId="11" xfId="0" applyFont="1" applyFill="1" applyBorder="1"/>
    <xf numFmtId="1" fontId="10" fillId="8" borderId="11" xfId="0" applyNumberFormat="1" applyFont="1" applyFill="1" applyBorder="1" applyAlignment="1">
      <alignment vertical="center"/>
    </xf>
    <xf numFmtId="0" fontId="0" fillId="9" borderId="0" xfId="0" applyFill="1"/>
    <xf numFmtId="0" fontId="2" fillId="9" borderId="0" xfId="0" applyFont="1" applyFill="1"/>
    <xf numFmtId="0" fontId="2" fillId="9" borderId="28" xfId="0" applyFont="1" applyFill="1" applyBorder="1"/>
    <xf numFmtId="0" fontId="2" fillId="9" borderId="29" xfId="0" applyFont="1" applyFill="1" applyBorder="1"/>
    <xf numFmtId="0" fontId="2" fillId="9" borderId="30" xfId="0" applyFont="1" applyFill="1" applyBorder="1"/>
    <xf numFmtId="3" fontId="2" fillId="8" borderId="27" xfId="0" applyNumberFormat="1" applyFont="1" applyFill="1" applyBorder="1"/>
    <xf numFmtId="3" fontId="2" fillId="8" borderId="3" xfId="0" applyNumberFormat="1" applyFont="1" applyFill="1" applyBorder="1"/>
    <xf numFmtId="0" fontId="2" fillId="8" borderId="20" xfId="0" applyFont="1" applyFill="1" applyBorder="1"/>
    <xf numFmtId="0" fontId="2" fillId="8" borderId="22" xfId="0" applyFont="1" applyFill="1" applyBorder="1"/>
    <xf numFmtId="0" fontId="2" fillId="8" borderId="21" xfId="0" applyFont="1" applyFill="1" applyBorder="1"/>
    <xf numFmtId="0" fontId="2" fillId="8" borderId="23" xfId="0" applyFont="1" applyFill="1" applyBorder="1"/>
    <xf numFmtId="0" fontId="2" fillId="8" borderId="18" xfId="0" applyFont="1" applyFill="1" applyBorder="1"/>
    <xf numFmtId="0" fontId="2" fillId="8" borderId="1" xfId="0" applyFont="1" applyFill="1" applyBorder="1"/>
    <xf numFmtId="0" fontId="11" fillId="8" borderId="2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22" fillId="8" borderId="4" xfId="0" applyFont="1" applyFill="1" applyBorder="1" applyAlignment="1">
      <alignment horizontal="left"/>
    </xf>
    <xf numFmtId="0" fontId="10" fillId="8" borderId="1" xfId="0" applyFont="1" applyFill="1" applyBorder="1"/>
    <xf numFmtId="0" fontId="7" fillId="8" borderId="1" xfId="0" applyFont="1" applyFill="1" applyBorder="1"/>
    <xf numFmtId="0" fontId="3" fillId="8" borderId="1" xfId="0" applyFont="1" applyFill="1" applyBorder="1"/>
    <xf numFmtId="0" fontId="15" fillId="8" borderId="1" xfId="0" applyFont="1" applyFill="1" applyBorder="1"/>
    <xf numFmtId="0" fontId="10" fillId="8" borderId="4" xfId="0" applyFont="1" applyFill="1" applyBorder="1"/>
    <xf numFmtId="0" fontId="3" fillId="8" borderId="4" xfId="0" applyFont="1" applyFill="1" applyBorder="1"/>
    <xf numFmtId="0" fontId="21" fillId="9" borderId="4" xfId="0" applyFont="1" applyFill="1" applyBorder="1"/>
    <xf numFmtId="0" fontId="0" fillId="9" borderId="1" xfId="0" applyFill="1" applyBorder="1"/>
    <xf numFmtId="0" fontId="0" fillId="9" borderId="4" xfId="0" applyFill="1" applyBorder="1"/>
    <xf numFmtId="0" fontId="0" fillId="9" borderId="1" xfId="0" applyFill="1" applyBorder="1" applyAlignment="1">
      <alignment horizontal="right"/>
    </xf>
    <xf numFmtId="0" fontId="0" fillId="9" borderId="2" xfId="0" applyFill="1" applyBorder="1"/>
    <xf numFmtId="0" fontId="2" fillId="9" borderId="3" xfId="0" applyFont="1" applyFill="1" applyBorder="1"/>
    <xf numFmtId="0" fontId="0" fillId="9" borderId="3" xfId="0" applyFill="1" applyBorder="1"/>
    <xf numFmtId="0" fontId="16" fillId="8" borderId="14" xfId="0" applyFont="1" applyFill="1" applyBorder="1" applyAlignment="1">
      <alignment horizontal="left"/>
    </xf>
    <xf numFmtId="0" fontId="16" fillId="8" borderId="0" xfId="0" applyFont="1" applyFill="1" applyAlignment="1">
      <alignment horizontal="left"/>
    </xf>
    <xf numFmtId="0" fontId="11" fillId="8" borderId="17" xfId="0" applyFont="1" applyFill="1" applyBorder="1" applyAlignment="1">
      <alignment horizontal="left"/>
    </xf>
    <xf numFmtId="0" fontId="22" fillId="8" borderId="0" xfId="0" applyFont="1" applyFill="1" applyAlignment="1">
      <alignment horizontal="left"/>
    </xf>
    <xf numFmtId="0" fontId="11" fillId="8" borderId="1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2" fillId="9" borderId="31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</cellXfs>
  <cellStyles count="6">
    <cellStyle name="Comma" xfId="4" builtinId="3"/>
    <cellStyle name="Hyperlink" xfId="5" builtinId="8"/>
    <cellStyle name="Hyperlink 2" xfId="3" xr:uid="{50F3D558-B8B7-4BD4-B09A-410BEFE89F0C}"/>
    <cellStyle name="Normal" xfId="0" builtinId="0"/>
    <cellStyle name="Per cent" xfId="1" builtinId="5"/>
    <cellStyle name="Standaard 2" xfId="2" xr:uid="{E993831D-62DA-419E-B16C-75BCAAC0713E}"/>
  </cellStyles>
  <dxfs count="0"/>
  <tableStyles count="0" defaultTableStyle="TableStyleMedium2" defaultPivotStyle="PivotStyleLight16"/>
  <colors>
    <mruColors>
      <color rgb="FFFF9900"/>
      <color rgb="FFFBD26D"/>
      <color rgb="FF9FC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10</xdr:col>
      <xdr:colOff>602521</xdr:colOff>
      <xdr:row>4</xdr:row>
      <xdr:rowOff>132557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version 1.1.</a:t>
          </a:r>
        </a:p>
      </xdr:txBody>
    </xdr:sp>
    <xdr:clientData/>
  </xdr:twoCellAnchor>
  <xdr:twoCellAnchor>
    <xdr:from>
      <xdr:col>1</xdr:col>
      <xdr:colOff>206011</xdr:colOff>
      <xdr:row>7</xdr:row>
      <xdr:rowOff>103392</xdr:rowOff>
    </xdr:from>
    <xdr:to>
      <xdr:col>3</xdr:col>
      <xdr:colOff>261938</xdr:colOff>
      <xdr:row>8</xdr:row>
      <xdr:rowOff>101487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797" y="1373392"/>
          <a:ext cx="2214927" cy="188595"/>
        </a:xfrm>
        <a:prstGeom prst="rect">
          <a:avLst/>
        </a:prstGeom>
        <a:solidFill>
          <a:srgbClr val="FF99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9</xdr:col>
      <xdr:colOff>101442</xdr:colOff>
      <xdr:row>7</xdr:row>
      <xdr:rowOff>91439</xdr:rowOff>
    </xdr:from>
    <xdr:to>
      <xdr:col>11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  <a:solidFill>
          <a:srgbClr val="FF99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1187256</xdr:colOff>
      <xdr:row>3</xdr:row>
      <xdr:rowOff>99543</xdr:rowOff>
    </xdr:from>
    <xdr:to>
      <xdr:col>4</xdr:col>
      <xdr:colOff>2238556</xdr:colOff>
      <xdr:row>5</xdr:row>
      <xdr:rowOff>160502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720" y="1746007"/>
          <a:ext cx="5201479" cy="46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15</xdr:row>
      <xdr:rowOff>42333</xdr:rowOff>
    </xdr:from>
    <xdr:to>
      <xdr:col>4</xdr:col>
      <xdr:colOff>1635549</xdr:colOff>
      <xdr:row>17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</xdr:row>
      <xdr:rowOff>129933</xdr:rowOff>
    </xdr:from>
    <xdr:to>
      <xdr:col>4</xdr:col>
      <xdr:colOff>2282552</xdr:colOff>
      <xdr:row>36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45</xdr:row>
      <xdr:rowOff>42333</xdr:rowOff>
    </xdr:from>
    <xdr:to>
      <xdr:col>4</xdr:col>
      <xdr:colOff>1635549</xdr:colOff>
      <xdr:row>47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T82"/>
  <sheetViews>
    <sheetView topLeftCell="D12" zoomScale="85" zoomScaleNormal="85" workbookViewId="0">
      <selection activeCell="P38" sqref="P38"/>
    </sheetView>
  </sheetViews>
  <sheetFormatPr defaultRowHeight="14.5" x14ac:dyDescent="0.35"/>
  <cols>
    <col min="2" max="2" width="4" customWidth="1"/>
    <col min="3" max="3" width="26.81640625" customWidth="1"/>
    <col min="4" max="4" width="30.81640625" customWidth="1"/>
    <col min="5" max="5" width="28.54296875" customWidth="1"/>
    <col min="6" max="6" width="18.54296875" customWidth="1"/>
    <col min="7" max="7" width="3.81640625" customWidth="1"/>
    <col min="8" max="8" width="8" customWidth="1"/>
    <col min="9" max="9" width="5.453125" customWidth="1"/>
    <col min="10" max="10" width="18.08984375" customWidth="1"/>
    <col min="11" max="11" width="26" customWidth="1"/>
    <col min="12" max="15" width="9.7265625" hidden="1" customWidth="1"/>
    <col min="16" max="18" width="9.7265625" customWidth="1"/>
  </cols>
  <sheetData>
    <row r="8" spans="2:20" ht="15" thickBot="1" x14ac:dyDescent="0.4"/>
    <row r="9" spans="2:20" x14ac:dyDescent="0.35">
      <c r="B9" s="6"/>
      <c r="C9" s="7"/>
      <c r="D9" s="8"/>
      <c r="E9" s="8"/>
      <c r="F9" s="8"/>
      <c r="G9" s="9"/>
      <c r="I9" s="6"/>
      <c r="J9" s="7"/>
      <c r="K9" s="8"/>
      <c r="L9" s="8"/>
      <c r="M9" s="8"/>
      <c r="N9" s="8"/>
      <c r="O9" s="8"/>
      <c r="P9" s="8"/>
      <c r="Q9" s="8"/>
      <c r="R9" s="9"/>
    </row>
    <row r="10" spans="2:20" x14ac:dyDescent="0.35">
      <c r="B10" s="10"/>
      <c r="G10" s="11"/>
      <c r="I10" s="10"/>
      <c r="R10" s="11"/>
    </row>
    <row r="11" spans="2:20" ht="15.5" x14ac:dyDescent="0.35">
      <c r="B11" s="10"/>
      <c r="G11" s="11"/>
      <c r="I11" s="10"/>
      <c r="L11" s="121" t="s">
        <v>1</v>
      </c>
      <c r="M11" s="122"/>
      <c r="N11" s="122"/>
      <c r="O11" s="122"/>
      <c r="P11" s="122"/>
      <c r="Q11" s="122"/>
      <c r="R11" s="65"/>
    </row>
    <row r="12" spans="2:20" ht="15.5" x14ac:dyDescent="0.35">
      <c r="B12" s="10"/>
      <c r="C12" s="101" t="s">
        <v>2</v>
      </c>
      <c r="D12" s="101" t="s">
        <v>3</v>
      </c>
      <c r="E12" s="101" t="s">
        <v>4</v>
      </c>
      <c r="F12" s="101" t="s">
        <v>0</v>
      </c>
      <c r="G12" s="11"/>
      <c r="I12" s="10"/>
      <c r="J12" s="15" t="s">
        <v>5</v>
      </c>
      <c r="L12" s="114">
        <f>$E$20</f>
        <v>2019</v>
      </c>
      <c r="M12" s="115">
        <f t="shared" ref="M12:N12" si="0">IF(L12&lt;YEAR($E13),L12+1,"N/A")</f>
        <v>2020</v>
      </c>
      <c r="N12" s="115">
        <f t="shared" si="0"/>
        <v>2021</v>
      </c>
      <c r="O12" s="115">
        <f>IF(N12&lt;YEAR($E13),N12+1,"N/A")</f>
        <v>2022</v>
      </c>
      <c r="P12" s="117">
        <f>IF(O12&lt;YEAR($E13),O12+1,"N/A")</f>
        <v>2023</v>
      </c>
      <c r="Q12" s="117">
        <f>IF(P12&lt;YEAR($E13),P12+1,"N/A")</f>
        <v>2024</v>
      </c>
      <c r="R12" s="66"/>
    </row>
    <row r="13" spans="2:20" ht="15.5" x14ac:dyDescent="0.35">
      <c r="B13" s="10"/>
      <c r="C13" s="107" t="s">
        <v>103</v>
      </c>
      <c r="D13" s="46">
        <v>45292</v>
      </c>
      <c r="E13" s="46">
        <v>45657</v>
      </c>
      <c r="F13" s="57" t="s">
        <v>102</v>
      </c>
      <c r="G13" s="11"/>
      <c r="I13" s="10"/>
      <c r="K13" s="15"/>
      <c r="L13" s="116" t="str">
        <f t="shared" ref="L13" si="1">IF(L12="N/A","N/A",IF((YEAR($E$13)-L12)=0,"AG 0-1",IF((YEAR($E$13)-L12)=1,"AG 1-2",IF((YEAR($E$13)-L12)=2,"AG 2-3",IF((YEAR($E$13)-L12)=3,"AG 3-4",IF((YEAR($E$13)-L12)=4,"AG 4-5",IF((YEAR($E$13)-L12)=5,"AG 5-6","N/A")))))))</f>
        <v>AG 5-6</v>
      </c>
      <c r="M13" s="98" t="str">
        <f>IF(M12="N/A","N/A",IF((YEAR($E$13)-M12)=0,"AG 0-1",IF((YEAR($E$13)-M12)=1,"AG 1-2",IF((YEAR($E$13)-M12)=2,"AG 2-3",IF((YEAR($E$13)-M12)=3,"AG 3-4",IF((YEAR($E$13)-M12)=4,"AG 4-5",IF((YEAR($E$13)-M12)=5,"AG 5-6","N/A")))))))</f>
        <v>AG 4-5</v>
      </c>
      <c r="N13" s="98" t="str">
        <f>IF(N12="N/A","N/A",IF((YEAR($E$13)-N12)=0,"AG 0-1",IF((YEAR($E$13)-N12)=1,"AG 1-2",IF((YEAR($E$13)-N12)=2,"AG 2-3",IF((YEAR($E$13)-N12)=3,"AG 3-4",IF((YEAR($E$13)-N12)=4,"AG 4-5",IF((YEAR($E$13)-N12)=5,"AG 5-6","N/A")))))))</f>
        <v>AG 3-4</v>
      </c>
      <c r="O13" s="98" t="str">
        <f>IF(O12="N/A","N/A",IF((YEAR($E$13)-O12)=0,"AG 0-1",IF((YEAR($E$13)-O12)=1,"AG 1-2",IF((YEAR($E$13)-O12)=2,"AG 2-3",IF((YEAR($E$13)-O12)=3,"AG 3-4",IF((YEAR($E$13)-O12)=4,"AG 4-5",IF((YEAR($E$13)-O12)=5,"AG 5-6","N/A")))))))</f>
        <v>AG 2-3</v>
      </c>
      <c r="P13" s="98" t="str">
        <f>IF(P12="N/A","N/A",IF((YEAR($E$13)-P12)=0,"AG 0-1",IF((YEAR($E$13)-P12)=1,"AG 1-2",IF((YEAR($E$13)-P12)=2,"AG 2-3",IF((YEAR($E$13)-P12)=3,"AG 3-4",IF((YEAR($E$13)-P12)=4,"AG 4-5",IF((YEAR($E$13)-P12)=5,"AG 5-6","N/A")))))))</f>
        <v>AG 1-2</v>
      </c>
      <c r="Q13" s="98" t="str">
        <f t="shared" ref="Q13" si="2">IF(Q12="N/A","N/A",IF((YEAR($E$13)-Q12)=0,"AG 0-1",IF((YEAR($E$13)-Q12)=1,"AG 1-2",IF((YEAR($E$13)-Q12)=2,"AG 2-3",IF((YEAR($E$13)-Q12)=3,"AG 3-4",IF((YEAR($E$13)-Q12)=4,"AG 4-5",IF((YEAR($E$13)-Q12)=5,"AG 5-6","N/A")))))))</f>
        <v>AG 0-1</v>
      </c>
      <c r="R13" s="67"/>
    </row>
    <row r="14" spans="2:20" ht="15.5" x14ac:dyDescent="0.35">
      <c r="B14" s="10"/>
      <c r="C14" s="107" t="s">
        <v>104</v>
      </c>
      <c r="D14" s="46">
        <v>45292</v>
      </c>
      <c r="E14" s="46">
        <v>45657</v>
      </c>
      <c r="F14" s="75" t="s">
        <v>101</v>
      </c>
      <c r="G14" s="11"/>
      <c r="I14" s="10"/>
      <c r="J14" s="15"/>
      <c r="L14" s="18"/>
      <c r="M14" s="18"/>
      <c r="N14" s="18"/>
      <c r="O14" s="18"/>
      <c r="P14" s="18"/>
      <c r="Q14" s="18"/>
      <c r="R14" s="68"/>
    </row>
    <row r="15" spans="2:20" x14ac:dyDescent="0.35">
      <c r="B15" s="10"/>
      <c r="C15" s="47"/>
      <c r="D15" s="47"/>
      <c r="E15" s="47"/>
      <c r="G15" s="11"/>
      <c r="I15" s="10"/>
      <c r="J15" s="85" t="s">
        <v>7</v>
      </c>
      <c r="K15" s="85" t="s">
        <v>8</v>
      </c>
      <c r="L15" s="29"/>
      <c r="M15" s="29"/>
      <c r="N15" s="29"/>
      <c r="O15" s="29"/>
      <c r="P15" s="29">
        <v>0.99173553719008267</v>
      </c>
      <c r="Q15" s="29">
        <v>0.98561151079136688</v>
      </c>
      <c r="R15" s="69"/>
      <c r="T15" t="s">
        <v>109</v>
      </c>
    </row>
    <row r="16" spans="2:20" ht="15.5" x14ac:dyDescent="0.35">
      <c r="B16" s="10"/>
      <c r="F16" s="58"/>
      <c r="G16" s="11"/>
      <c r="I16" s="10"/>
      <c r="J16" s="85" t="s">
        <v>9</v>
      </c>
      <c r="K16" s="85" t="s">
        <v>8</v>
      </c>
      <c r="L16" s="29"/>
      <c r="M16" s="29"/>
      <c r="N16" s="29"/>
      <c r="O16" s="29"/>
      <c r="P16" s="29">
        <v>0.50887661862990807</v>
      </c>
      <c r="Q16" s="29">
        <v>0.48807481519482387</v>
      </c>
      <c r="R16" s="69"/>
      <c r="T16" t="s">
        <v>109</v>
      </c>
    </row>
    <row r="17" spans="2:20" ht="15.5" x14ac:dyDescent="0.35">
      <c r="B17" s="10"/>
      <c r="C17" s="101" t="s">
        <v>10</v>
      </c>
      <c r="D17" s="102"/>
      <c r="E17" s="103"/>
      <c r="F17" s="58"/>
      <c r="G17" s="11"/>
      <c r="I17" s="10"/>
      <c r="R17" s="11"/>
    </row>
    <row r="18" spans="2:20" ht="15.5" x14ac:dyDescent="0.35">
      <c r="B18" s="10"/>
      <c r="C18" s="108" t="s">
        <v>12</v>
      </c>
      <c r="D18" s="109"/>
      <c r="E18" s="22" t="s">
        <v>105</v>
      </c>
      <c r="F18" s="58"/>
      <c r="G18" s="11"/>
      <c r="I18" s="10"/>
      <c r="L18" s="70"/>
      <c r="R18" s="11"/>
    </row>
    <row r="19" spans="2:20" ht="15.5" x14ac:dyDescent="0.35">
      <c r="B19" s="10"/>
      <c r="C19" s="109" t="s">
        <v>13</v>
      </c>
      <c r="D19" s="109"/>
      <c r="E19" s="23">
        <v>2</v>
      </c>
      <c r="F19" s="58"/>
      <c r="G19" s="11"/>
      <c r="I19" s="10"/>
      <c r="J19" s="15" t="s">
        <v>11</v>
      </c>
      <c r="L19" s="38"/>
      <c r="M19" s="38"/>
      <c r="N19" s="38"/>
      <c r="O19" s="38"/>
      <c r="P19" s="38"/>
      <c r="Q19" s="38"/>
      <c r="R19" s="71"/>
    </row>
    <row r="20" spans="2:20" ht="15.5" x14ac:dyDescent="0.35">
      <c r="B20" s="10"/>
      <c r="C20" s="109" t="s">
        <v>16</v>
      </c>
      <c r="D20" s="109"/>
      <c r="E20" s="23">
        <v>2019</v>
      </c>
      <c r="F20" s="58"/>
      <c r="G20" s="11"/>
      <c r="I20" s="10"/>
      <c r="R20" s="11"/>
    </row>
    <row r="21" spans="2:20" ht="15.65" customHeight="1" x14ac:dyDescent="0.35">
      <c r="B21" s="10"/>
      <c r="C21" s="109" t="s">
        <v>17</v>
      </c>
      <c r="D21" s="109"/>
      <c r="E21" s="23">
        <v>2025</v>
      </c>
      <c r="F21" s="58"/>
      <c r="G21" s="11"/>
      <c r="I21" s="10"/>
      <c r="J21" s="123" t="s">
        <v>14</v>
      </c>
      <c r="K21" s="112" t="s">
        <v>15</v>
      </c>
      <c r="L21" s="56" t="str">
        <f t="shared" ref="L21:P21" si="3">L13</f>
        <v>AG 5-6</v>
      </c>
      <c r="M21" s="56" t="str">
        <f t="shared" si="3"/>
        <v>AG 4-5</v>
      </c>
      <c r="N21" s="56" t="str">
        <f t="shared" si="3"/>
        <v>AG 3-4</v>
      </c>
      <c r="O21" s="62" t="str">
        <f t="shared" si="3"/>
        <v>AG 2-3</v>
      </c>
      <c r="P21" s="118" t="str">
        <f t="shared" si="3"/>
        <v>AG 1-2</v>
      </c>
      <c r="Q21" s="118" t="str">
        <f t="shared" ref="Q21" si="4">Q13</f>
        <v>AG 0-1</v>
      </c>
      <c r="R21" s="67"/>
    </row>
    <row r="22" spans="2:20" ht="12.65" customHeight="1" x14ac:dyDescent="0.35">
      <c r="B22" s="10"/>
      <c r="C22" s="109" t="s">
        <v>18</v>
      </c>
      <c r="D22" s="109"/>
      <c r="E22" s="24" t="s">
        <v>111</v>
      </c>
      <c r="F22" s="58"/>
      <c r="G22" s="11"/>
      <c r="I22" s="10"/>
      <c r="J22" s="124"/>
      <c r="K22" s="113" t="str">
        <f>C13</f>
        <v>VPA-01 Iridimi (GS3445)</v>
      </c>
      <c r="L22" s="41"/>
      <c r="M22" s="41"/>
      <c r="N22" s="41"/>
      <c r="O22" s="41"/>
      <c r="P22" s="41">
        <v>1756.5616438356165</v>
      </c>
      <c r="Q22" s="41">
        <v>1035.4191780821918</v>
      </c>
      <c r="R22" s="72"/>
      <c r="T22" t="s">
        <v>108</v>
      </c>
    </row>
    <row r="23" spans="2:20" ht="15.5" x14ac:dyDescent="0.35">
      <c r="B23" s="10"/>
      <c r="C23" s="109" t="s">
        <v>19</v>
      </c>
      <c r="D23" s="109"/>
      <c r="E23" s="24" t="s">
        <v>106</v>
      </c>
      <c r="F23" s="58"/>
      <c r="G23" s="11"/>
      <c r="I23" s="10"/>
      <c r="J23" s="125"/>
      <c r="K23" s="113" t="str">
        <f>C14</f>
        <v>VPA-02 Touloum (GS12011)</v>
      </c>
      <c r="L23" s="42"/>
      <c r="M23" s="42"/>
      <c r="N23" s="42"/>
      <c r="O23" s="42"/>
      <c r="P23" s="74">
        <v>2319.9561643835618</v>
      </c>
      <c r="Q23" s="42">
        <v>2371.7397260273974</v>
      </c>
      <c r="R23" s="73"/>
      <c r="T23" t="s">
        <v>108</v>
      </c>
    </row>
    <row r="24" spans="2:20" ht="16" thickBot="1" x14ac:dyDescent="0.4">
      <c r="B24" s="10"/>
      <c r="F24" s="58"/>
      <c r="G24" s="11"/>
      <c r="I24" s="12"/>
      <c r="J24" s="13"/>
      <c r="K24" s="13"/>
      <c r="L24" s="13"/>
      <c r="M24" s="13"/>
      <c r="N24" s="13"/>
      <c r="O24" s="13"/>
      <c r="P24" s="13"/>
      <c r="Q24" s="13"/>
      <c r="R24" s="14"/>
    </row>
    <row r="25" spans="2:20" ht="15.5" x14ac:dyDescent="0.35">
      <c r="B25" s="10"/>
      <c r="F25" s="58"/>
      <c r="G25" s="11"/>
      <c r="L25" s="39"/>
      <c r="M25" s="39"/>
      <c r="N25" s="39"/>
      <c r="O25" s="39"/>
      <c r="P25" s="39"/>
      <c r="Q25" s="39"/>
      <c r="R25" s="39"/>
    </row>
    <row r="26" spans="2:20" ht="15.5" x14ac:dyDescent="0.35">
      <c r="B26" s="10"/>
      <c r="C26" s="104" t="s">
        <v>20</v>
      </c>
      <c r="D26" s="102" t="s">
        <v>21</v>
      </c>
      <c r="E26" s="102" t="s">
        <v>22</v>
      </c>
      <c r="F26" s="58"/>
      <c r="G26" s="11"/>
      <c r="L26" s="38"/>
      <c r="M26" s="38"/>
      <c r="N26" s="38"/>
      <c r="O26" s="38"/>
      <c r="P26" s="38"/>
      <c r="Q26" s="38"/>
      <c r="R26" s="38"/>
    </row>
    <row r="27" spans="2:20" ht="15.5" x14ac:dyDescent="0.35">
      <c r="B27" s="10"/>
      <c r="C27" s="109" t="s">
        <v>23</v>
      </c>
      <c r="D27" s="109"/>
      <c r="E27" s="25" t="s">
        <v>107</v>
      </c>
      <c r="F27" s="58"/>
      <c r="G27" s="11"/>
      <c r="L27" s="40"/>
      <c r="M27" s="40"/>
      <c r="N27" s="40"/>
      <c r="O27" s="40"/>
      <c r="P27" s="40"/>
      <c r="Q27" s="40"/>
      <c r="R27" s="40"/>
    </row>
    <row r="28" spans="2:20" ht="15.5" x14ac:dyDescent="0.35">
      <c r="B28" s="10"/>
      <c r="C28" s="108" t="str">
        <f>E27</f>
        <v>Minimum service level</v>
      </c>
      <c r="D28" s="37" t="str">
        <f>IF(E27="Minimum service level","tonnes per capita per year", "tonnes per household per year")</f>
        <v>tonnes per capita per year</v>
      </c>
      <c r="E28" s="43">
        <v>0.5</v>
      </c>
      <c r="F28" s="58"/>
      <c r="G28" s="11"/>
    </row>
    <row r="29" spans="2:20" ht="15.5" x14ac:dyDescent="0.35">
      <c r="B29" s="10"/>
      <c r="F29" s="58"/>
      <c r="G29" s="11"/>
    </row>
    <row r="30" spans="2:20" ht="15.5" x14ac:dyDescent="0.35">
      <c r="B30" s="10"/>
      <c r="F30" s="58"/>
      <c r="G30" s="11"/>
    </row>
    <row r="31" spans="2:20" ht="15.5" x14ac:dyDescent="0.35">
      <c r="B31" s="10"/>
      <c r="C31" s="119" t="s">
        <v>15</v>
      </c>
      <c r="D31" s="109" t="s">
        <v>24</v>
      </c>
      <c r="E31" s="108" t="s">
        <v>25</v>
      </c>
      <c r="F31" s="58"/>
      <c r="G31" s="11"/>
    </row>
    <row r="32" spans="2:20" ht="15.5" x14ac:dyDescent="0.35">
      <c r="B32" s="10"/>
      <c r="C32" s="120"/>
      <c r="D32" s="110" t="s">
        <v>26</v>
      </c>
      <c r="E32" s="110" t="s">
        <v>27</v>
      </c>
      <c r="F32" s="58"/>
      <c r="G32" s="11"/>
    </row>
    <row r="33" spans="2:8" ht="15.5" x14ac:dyDescent="0.35">
      <c r="B33" s="10"/>
      <c r="C33" s="109" t="str">
        <f>C13</f>
        <v>VPA-01 Iridimi (GS3445)</v>
      </c>
      <c r="D33" s="44">
        <v>4.612903225806452</v>
      </c>
      <c r="E33" s="44">
        <f>IF($E$27="Minimum Service Level",$E$28*D33,$E$28)</f>
        <v>2.306451612903226</v>
      </c>
      <c r="F33" s="58"/>
      <c r="G33" s="11"/>
      <c r="H33" t="s">
        <v>109</v>
      </c>
    </row>
    <row r="34" spans="2:8" ht="15.5" x14ac:dyDescent="0.35">
      <c r="B34" s="10"/>
      <c r="C34" s="109" t="str">
        <f>C14</f>
        <v>VPA-02 Touloum (GS12011)</v>
      </c>
      <c r="D34" s="44">
        <v>5.1838235294117645</v>
      </c>
      <c r="E34" s="44">
        <f>IF($E$27="Minimum Service Level",$E$28*D34,$E$28)</f>
        <v>2.5919117647058822</v>
      </c>
      <c r="F34" s="58"/>
      <c r="G34" s="11"/>
      <c r="H34" t="s">
        <v>109</v>
      </c>
    </row>
    <row r="35" spans="2:8" ht="15.5" x14ac:dyDescent="0.35">
      <c r="B35" s="10"/>
      <c r="F35" s="58"/>
      <c r="G35" s="11"/>
    </row>
    <row r="36" spans="2:8" ht="15.5" x14ac:dyDescent="0.35">
      <c r="B36" s="10"/>
      <c r="C36" s="109" t="s">
        <v>28</v>
      </c>
      <c r="D36" s="108" t="s">
        <v>8</v>
      </c>
      <c r="E36" s="34">
        <v>0.96</v>
      </c>
      <c r="F36" s="58"/>
      <c r="G36" s="11"/>
    </row>
    <row r="37" spans="2:8" ht="15.5" x14ac:dyDescent="0.35">
      <c r="B37" s="10"/>
      <c r="C37" s="109" t="s">
        <v>29</v>
      </c>
      <c r="D37" s="109" t="s">
        <v>30</v>
      </c>
      <c r="E37" s="43">
        <f>'EF calculation'!C2</f>
        <v>1.7471999999999999</v>
      </c>
      <c r="F37" s="58"/>
      <c r="G37" s="11"/>
    </row>
    <row r="38" spans="2:8" ht="15.5" x14ac:dyDescent="0.35">
      <c r="B38" s="10"/>
      <c r="C38" s="108" t="s">
        <v>31</v>
      </c>
      <c r="D38" s="108" t="s">
        <v>30</v>
      </c>
      <c r="E38" s="43">
        <f>'EF calculation'!C5</f>
        <v>0.58115070000000002</v>
      </c>
      <c r="F38" s="58"/>
      <c r="G38" s="11"/>
    </row>
    <row r="39" spans="2:8" ht="15.5" x14ac:dyDescent="0.35">
      <c r="B39" s="10"/>
      <c r="F39" s="58"/>
      <c r="G39" s="11"/>
    </row>
    <row r="40" spans="2:8" ht="15.5" x14ac:dyDescent="0.35">
      <c r="B40" s="10"/>
      <c r="F40" s="58"/>
      <c r="G40" s="11"/>
    </row>
    <row r="41" spans="2:8" ht="15.5" x14ac:dyDescent="0.35">
      <c r="B41" s="10"/>
      <c r="C41" s="105" t="s">
        <v>32</v>
      </c>
      <c r="D41" s="106"/>
      <c r="E41" s="106"/>
      <c r="F41" s="58"/>
      <c r="G41" s="11"/>
    </row>
    <row r="42" spans="2:8" ht="15.5" x14ac:dyDescent="0.35">
      <c r="B42" s="10"/>
      <c r="C42" s="109" t="s">
        <v>33</v>
      </c>
      <c r="D42" s="109"/>
      <c r="E42" s="26" t="s">
        <v>34</v>
      </c>
      <c r="F42" s="58"/>
      <c r="G42" s="11"/>
    </row>
    <row r="43" spans="2:8" ht="15.5" x14ac:dyDescent="0.35">
      <c r="B43" s="10"/>
      <c r="C43" s="109" t="s">
        <v>35</v>
      </c>
      <c r="D43" s="109"/>
      <c r="E43" s="27">
        <v>0.1</v>
      </c>
      <c r="F43" s="58"/>
      <c r="G43" s="11"/>
    </row>
    <row r="44" spans="2:8" ht="15.5" x14ac:dyDescent="0.35">
      <c r="B44" s="10"/>
      <c r="C44" s="109" t="s">
        <v>36</v>
      </c>
      <c r="D44" s="109"/>
      <c r="E44" s="3" t="s">
        <v>37</v>
      </c>
      <c r="F44" s="58"/>
      <c r="G44" s="11"/>
    </row>
    <row r="45" spans="2:8" ht="15.5" x14ac:dyDescent="0.35">
      <c r="B45" s="10"/>
      <c r="C45" s="109" t="s">
        <v>38</v>
      </c>
      <c r="D45" s="109"/>
      <c r="E45" s="4">
        <v>1</v>
      </c>
      <c r="F45" s="58"/>
      <c r="G45" s="11"/>
    </row>
    <row r="46" spans="2:8" ht="15.5" x14ac:dyDescent="0.35">
      <c r="B46" s="10"/>
      <c r="C46" s="108" t="s">
        <v>39</v>
      </c>
      <c r="D46" s="109"/>
      <c r="E46" s="28" t="s">
        <v>34</v>
      </c>
      <c r="F46" s="58"/>
      <c r="G46" s="11"/>
    </row>
    <row r="47" spans="2:8" ht="15.5" x14ac:dyDescent="0.35">
      <c r="B47" s="10"/>
      <c r="C47" s="111" t="s">
        <v>40</v>
      </c>
      <c r="D47" s="108"/>
      <c r="E47" s="28" t="s">
        <v>95</v>
      </c>
      <c r="F47" s="58"/>
      <c r="G47" s="11"/>
    </row>
    <row r="48" spans="2:8" ht="15.5" x14ac:dyDescent="0.35">
      <c r="B48" s="10"/>
      <c r="F48" s="58"/>
      <c r="G48" s="11"/>
    </row>
    <row r="49" spans="2:7" ht="15.5" x14ac:dyDescent="0.35">
      <c r="B49" s="10"/>
      <c r="F49" s="58"/>
      <c r="G49" s="11"/>
    </row>
    <row r="50" spans="2:7" ht="15.5" x14ac:dyDescent="0.35">
      <c r="B50" s="10"/>
      <c r="C50" s="105" t="s">
        <v>41</v>
      </c>
      <c r="D50" s="106"/>
      <c r="E50" s="106"/>
      <c r="F50" s="58"/>
      <c r="G50" s="11"/>
    </row>
    <row r="51" spans="2:7" ht="15.5" x14ac:dyDescent="0.35">
      <c r="B51" s="10"/>
      <c r="C51" s="109" t="s">
        <v>42</v>
      </c>
      <c r="D51" s="109"/>
      <c r="E51" s="28" t="s">
        <v>34</v>
      </c>
      <c r="F51" s="58"/>
      <c r="G51" s="11"/>
    </row>
    <row r="52" spans="2:7" ht="15.5" x14ac:dyDescent="0.35">
      <c r="B52" s="10"/>
      <c r="C52" s="109" t="s">
        <v>43</v>
      </c>
      <c r="D52" s="109"/>
      <c r="E52" s="27">
        <v>0.95</v>
      </c>
      <c r="F52" s="58"/>
      <c r="G52" s="11"/>
    </row>
    <row r="53" spans="2:7" ht="15.5" x14ac:dyDescent="0.35">
      <c r="B53" s="10"/>
      <c r="C53" s="108" t="s">
        <v>44</v>
      </c>
      <c r="D53" s="108"/>
      <c r="E53" s="5" t="s">
        <v>45</v>
      </c>
      <c r="F53" s="58"/>
      <c r="G53" s="11"/>
    </row>
    <row r="54" spans="2:7" ht="15" thickBot="1" x14ac:dyDescent="0.4">
      <c r="B54" s="12"/>
      <c r="C54" s="13"/>
      <c r="D54" s="13"/>
      <c r="E54" s="13"/>
      <c r="F54" s="13"/>
      <c r="G54" s="14"/>
    </row>
    <row r="60" spans="2:7" x14ac:dyDescent="0.35">
      <c r="C60" s="36" t="s">
        <v>46</v>
      </c>
      <c r="D60" s="36" t="s">
        <v>47</v>
      </c>
    </row>
    <row r="61" spans="2:7" x14ac:dyDescent="0.35">
      <c r="C61" s="36" t="s">
        <v>48</v>
      </c>
      <c r="D61" s="36" t="s">
        <v>49</v>
      </c>
    </row>
    <row r="62" spans="2:7" x14ac:dyDescent="0.35">
      <c r="C62" s="36" t="s">
        <v>50</v>
      </c>
      <c r="D62" s="36" t="s">
        <v>51</v>
      </c>
    </row>
    <row r="63" spans="2:7" x14ac:dyDescent="0.35">
      <c r="C63" s="36"/>
      <c r="D63" s="36" t="s">
        <v>52</v>
      </c>
    </row>
    <row r="64" spans="2:7" ht="49.75" customHeight="1" x14ac:dyDescent="0.35"/>
    <row r="75" spans="3:8" x14ac:dyDescent="0.35">
      <c r="H75" s="1"/>
    </row>
    <row r="76" spans="3:8" x14ac:dyDescent="0.35">
      <c r="H76" s="1"/>
    </row>
    <row r="77" spans="3:8" x14ac:dyDescent="0.35">
      <c r="H77" s="2"/>
    </row>
    <row r="80" spans="3:8" x14ac:dyDescent="0.35">
      <c r="C80" s="1"/>
      <c r="D80" s="1"/>
      <c r="E80" s="1"/>
      <c r="F80" s="1"/>
      <c r="G80" s="1"/>
    </row>
    <row r="81" spans="3:7" x14ac:dyDescent="0.35">
      <c r="C81" s="1"/>
      <c r="D81" s="1"/>
      <c r="E81" s="1"/>
      <c r="F81" s="1"/>
      <c r="G81" s="1"/>
    </row>
    <row r="82" spans="3:7" x14ac:dyDescent="0.35">
      <c r="C82" s="1"/>
      <c r="D82" s="1"/>
      <c r="E82" s="1"/>
      <c r="F82" s="1"/>
      <c r="G82" s="1"/>
    </row>
  </sheetData>
  <mergeCells count="3">
    <mergeCell ref="C31:C32"/>
    <mergeCell ref="L11:Q11"/>
    <mergeCell ref="J21:J23"/>
  </mergeCells>
  <phoneticPr fontId="17" type="noConversion"/>
  <dataValidations disablePrompts="1" count="3">
    <dataValidation type="list" allowBlank="1" showInputMessage="1" showErrorMessage="1" sqref="E51" xr:uid="{B3BBCB7A-C66B-445F-93B9-A8BADD0CC9FA}">
      <formula1>$C$61:$C$62</formula1>
    </dataValidation>
    <dataValidation type="list" allowBlank="1" showInputMessage="1" showErrorMessage="1" sqref="E46:E47 E42" xr:uid="{91856A61-91AD-4944-B5E3-84579FC33F44}">
      <formula1>$C$60:$C$61</formula1>
    </dataValidation>
    <dataValidation type="list" allowBlank="1" showInputMessage="1" showErrorMessage="1" promptTitle="Baseline fuel consumption" sqref="E27" xr:uid="{5CF84899-4253-48FA-AD61-733FF1CFEE74}">
      <formula1>$D$60:$D$63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E44B-3AC6-4D0D-BD93-54D9B68EF15F}">
  <dimension ref="B2:E16"/>
  <sheetViews>
    <sheetView workbookViewId="0">
      <selection activeCell="E20" sqref="E20"/>
    </sheetView>
  </sheetViews>
  <sheetFormatPr defaultRowHeight="14.5" x14ac:dyDescent="0.35"/>
  <cols>
    <col min="2" max="2" width="16.81640625" customWidth="1"/>
    <col min="4" max="4" width="11" bestFit="1" customWidth="1"/>
  </cols>
  <sheetData>
    <row r="2" spans="2:5" x14ac:dyDescent="0.35">
      <c r="B2" s="48" t="s">
        <v>53</v>
      </c>
      <c r="C2" s="49">
        <f>C7*C8</f>
        <v>1.7471999999999999</v>
      </c>
      <c r="D2" s="48" t="s">
        <v>54</v>
      </c>
      <c r="E2" s="48"/>
    </row>
    <row r="3" spans="2:5" x14ac:dyDescent="0.35">
      <c r="B3" s="48" t="s">
        <v>55</v>
      </c>
      <c r="C3" s="49">
        <f>(C9*C12*C7/1000)+(C13*C16*C7/1000)</f>
        <v>0.45538739999999994</v>
      </c>
      <c r="D3" s="48" t="s">
        <v>54</v>
      </c>
      <c r="E3" s="48">
        <v>2012</v>
      </c>
    </row>
    <row r="4" spans="2:5" x14ac:dyDescent="0.35">
      <c r="B4" s="48"/>
      <c r="C4" s="49">
        <f>(C10*C12*C7/1000)+(C14*C16*C7/1000)</f>
        <v>0.52965899999999999</v>
      </c>
      <c r="D4" s="48" t="s">
        <v>54</v>
      </c>
      <c r="E4" s="48">
        <v>2013</v>
      </c>
    </row>
    <row r="5" spans="2:5" x14ac:dyDescent="0.35">
      <c r="B5" s="48"/>
      <c r="C5" s="50">
        <f>(C11*C12*C7/1000)+(C15*C16*C7/1000)</f>
        <v>0.58115070000000002</v>
      </c>
      <c r="D5" s="48" t="s">
        <v>54</v>
      </c>
      <c r="E5" s="48">
        <v>2021</v>
      </c>
    </row>
    <row r="6" spans="2:5" x14ac:dyDescent="0.35">
      <c r="B6" s="48"/>
      <c r="C6" s="51"/>
      <c r="D6" s="48"/>
      <c r="E6" s="48"/>
    </row>
    <row r="7" spans="2:5" x14ac:dyDescent="0.35">
      <c r="B7" s="51" t="s">
        <v>56</v>
      </c>
      <c r="C7" s="51">
        <v>1.5599999999999999E-2</v>
      </c>
      <c r="D7" s="51" t="s">
        <v>57</v>
      </c>
      <c r="E7" s="52" t="s">
        <v>58</v>
      </c>
    </row>
    <row r="8" spans="2:5" x14ac:dyDescent="0.35">
      <c r="B8" s="48" t="s">
        <v>59</v>
      </c>
      <c r="C8" s="51">
        <v>112</v>
      </c>
      <c r="D8" s="51" t="s">
        <v>60</v>
      </c>
      <c r="E8" s="52" t="s">
        <v>58</v>
      </c>
    </row>
    <row r="9" spans="2:5" x14ac:dyDescent="0.35">
      <c r="B9" s="48" t="s">
        <v>61</v>
      </c>
      <c r="C9" s="51">
        <v>21</v>
      </c>
      <c r="D9" s="48"/>
      <c r="E9" s="53" t="s">
        <v>62</v>
      </c>
    </row>
    <row r="10" spans="2:5" x14ac:dyDescent="0.35">
      <c r="B10" s="48" t="s">
        <v>63</v>
      </c>
      <c r="C10" s="51">
        <v>25</v>
      </c>
      <c r="D10" s="48"/>
      <c r="E10" s="53" t="s">
        <v>62</v>
      </c>
    </row>
    <row r="11" spans="2:5" x14ac:dyDescent="0.35">
      <c r="B11" s="48" t="s">
        <v>64</v>
      </c>
      <c r="C11" s="51">
        <v>28</v>
      </c>
      <c r="D11" s="48"/>
      <c r="E11" s="53" t="s">
        <v>65</v>
      </c>
    </row>
    <row r="12" spans="2:5" x14ac:dyDescent="0.35">
      <c r="B12" s="48" t="s">
        <v>66</v>
      </c>
      <c r="C12" s="51">
        <v>1224</v>
      </c>
      <c r="D12" s="54"/>
      <c r="E12" s="48" t="s">
        <v>67</v>
      </c>
    </row>
    <row r="13" spans="2:5" x14ac:dyDescent="0.35">
      <c r="B13" s="48" t="s">
        <v>68</v>
      </c>
      <c r="C13" s="51">
        <v>310</v>
      </c>
      <c r="D13" s="48"/>
      <c r="E13" s="53" t="s">
        <v>62</v>
      </c>
    </row>
    <row r="14" spans="2:5" x14ac:dyDescent="0.35">
      <c r="B14" s="48" t="s">
        <v>69</v>
      </c>
      <c r="C14" s="51">
        <v>298</v>
      </c>
      <c r="D14" s="48"/>
      <c r="E14" s="53" t="s">
        <v>62</v>
      </c>
    </row>
    <row r="15" spans="2:5" x14ac:dyDescent="0.35">
      <c r="B15" s="48" t="s">
        <v>70</v>
      </c>
      <c r="C15" s="51">
        <v>265</v>
      </c>
      <c r="D15" s="48"/>
      <c r="E15" s="53" t="s">
        <v>65</v>
      </c>
    </row>
    <row r="16" spans="2:5" x14ac:dyDescent="0.35">
      <c r="B16" s="48" t="s">
        <v>71</v>
      </c>
      <c r="C16" s="51">
        <v>11.25</v>
      </c>
      <c r="D16" s="54"/>
      <c r="E16" s="48" t="s">
        <v>67</v>
      </c>
    </row>
  </sheetData>
  <hyperlinks>
    <hyperlink ref="E7" r:id="rId1" xr:uid="{14FF9F43-620D-422F-AB8C-1CEC29C24314}"/>
    <hyperlink ref="E8" r:id="rId2" xr:uid="{BAB84106-8628-40E3-AFA4-2E2803EDC93A}"/>
    <hyperlink ref="E9" r:id="rId3" location="table-2-14" xr:uid="{BC14E1BA-DA8A-4695-B2E2-27F1BC9E98C1}"/>
    <hyperlink ref="E10" r:id="rId4" location="table-2-14" xr:uid="{E72094C9-3CC4-4A1D-A58A-AABE8D915CA5}"/>
    <hyperlink ref="E13" r:id="rId5" location="table-2-14" xr:uid="{C58BE7DE-6925-40FD-9638-B37C9B920BE4}"/>
    <hyperlink ref="E14" r:id="rId6" location="table-2-14" xr:uid="{90265DF0-7DBD-4BE0-A10B-4E3C51566472}"/>
    <hyperlink ref="E11" r:id="rId7" xr:uid="{28971B4A-45A8-4935-8065-1528BCA0AB68}"/>
    <hyperlink ref="E15" r:id="rId8" xr:uid="{E2A29653-9302-4C04-8089-0400E07E44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J12"/>
  <sheetViews>
    <sheetView topLeftCell="A4" workbookViewId="0">
      <selection activeCell="J11" sqref="J11"/>
    </sheetView>
  </sheetViews>
  <sheetFormatPr defaultRowHeight="14.5" x14ac:dyDescent="0.35"/>
  <cols>
    <col min="3" max="3" width="16.26953125" customWidth="1"/>
    <col min="4" max="6" width="6.453125" hidden="1" customWidth="1"/>
    <col min="7" max="7" width="6.6328125" bestFit="1" customWidth="1"/>
    <col min="8" max="8" width="6.6328125" customWidth="1"/>
    <col min="9" max="9" width="6.54296875" bestFit="1" customWidth="1"/>
    <col min="10" max="10" width="11.90625" bestFit="1" customWidth="1"/>
    <col min="11" max="13" width="2" bestFit="1" customWidth="1"/>
    <col min="14" max="14" width="15.453125" customWidth="1"/>
    <col min="15" max="15" width="4.54296875" customWidth="1"/>
    <col min="17" max="17" width="12" customWidth="1"/>
  </cols>
  <sheetData>
    <row r="3" spans="2:10" ht="18.5" x14ac:dyDescent="0.45">
      <c r="B3" s="35" t="s">
        <v>110</v>
      </c>
    </row>
    <row r="4" spans="2:10" ht="15" thickBot="1" x14ac:dyDescent="0.4"/>
    <row r="5" spans="2:10" ht="15" thickBot="1" x14ac:dyDescent="0.4">
      <c r="D5" s="130" t="s">
        <v>72</v>
      </c>
      <c r="E5" s="131"/>
      <c r="F5" s="131"/>
      <c r="G5" s="131"/>
      <c r="H5" s="132"/>
      <c r="I5" s="126" t="s">
        <v>73</v>
      </c>
      <c r="J5" s="128" t="s">
        <v>100</v>
      </c>
    </row>
    <row r="6" spans="2:10" ht="15" thickBot="1" x14ac:dyDescent="0.4">
      <c r="B6" s="92" t="s">
        <v>15</v>
      </c>
      <c r="C6" s="93"/>
      <c r="D6" s="87" t="str">
        <f>Calculation!H4</f>
        <v>AG 4-5</v>
      </c>
      <c r="E6" s="88" t="str">
        <f>Calculation!I4</f>
        <v>AG 3-4</v>
      </c>
      <c r="F6" s="88" t="str">
        <f>Calculation!J4</f>
        <v>AG 2-3</v>
      </c>
      <c r="G6" s="88" t="str">
        <f>Calculation!K4</f>
        <v>AG 1-2</v>
      </c>
      <c r="H6" s="89" t="str">
        <f>Calculation!L4</f>
        <v>AG 0-1</v>
      </c>
      <c r="I6" s="127"/>
      <c r="J6" s="129"/>
    </row>
    <row r="7" spans="2:10" x14ac:dyDescent="0.35">
      <c r="B7" s="94" t="str">
        <f>Input!K22</f>
        <v>VPA-01 Iridimi (GS3445)</v>
      </c>
      <c r="C7" s="95"/>
      <c r="D7" s="64">
        <f>ROUNDDOWN(Calculation!H25,0)</f>
        <v>0</v>
      </c>
      <c r="E7" s="64">
        <f>ROUNDDOWN(Calculation!I25,0)</f>
        <v>0</v>
      </c>
      <c r="F7" s="64">
        <f>Calculation!J25</f>
        <v>0</v>
      </c>
      <c r="G7" s="64">
        <f>Calculation!K25</f>
        <v>3810.4236717136773</v>
      </c>
      <c r="H7" s="64">
        <f>Calculation!L25</f>
        <v>2326.7614104789695</v>
      </c>
      <c r="I7" s="64">
        <f>ROUNDDOWN(SUM(D7:H7),0)</f>
        <v>6137</v>
      </c>
      <c r="J7" s="90">
        <f>MIN(I7,10000)</f>
        <v>6137</v>
      </c>
    </row>
    <row r="8" spans="2:10" x14ac:dyDescent="0.35">
      <c r="B8" s="96" t="str">
        <f>Input!K23</f>
        <v>VPA-02 Touloum (GS12011)</v>
      </c>
      <c r="C8" s="97"/>
      <c r="D8" s="63">
        <f>ROUNDDOWN(Calculation!H57,0)</f>
        <v>0</v>
      </c>
      <c r="E8" s="63">
        <f>ROUNDDOWN(Calculation!I57,0)</f>
        <v>0</v>
      </c>
      <c r="F8" s="63">
        <f>Calculation!J57</f>
        <v>0</v>
      </c>
      <c r="G8" s="63">
        <f>Calculation!K57</f>
        <v>5655.4284879309917</v>
      </c>
      <c r="H8" s="63">
        <f>Calculation!L57</f>
        <v>5989.3341110699357</v>
      </c>
      <c r="I8" s="63">
        <f>ROUNDDOWN(SUM(D8:H8),0)</f>
        <v>11644</v>
      </c>
      <c r="J8" s="91">
        <f t="shared" ref="J8" si="0">MIN(I8,10000)</f>
        <v>10000</v>
      </c>
    </row>
    <row r="9" spans="2:10" x14ac:dyDescent="0.35">
      <c r="I9" s="45">
        <f>SUM(I7:I8)</f>
        <v>17781</v>
      </c>
      <c r="J9" s="45">
        <f>SUM(J7:J8)</f>
        <v>16137</v>
      </c>
    </row>
    <row r="10" spans="2:10" x14ac:dyDescent="0.35">
      <c r="J10">
        <v>16137</v>
      </c>
    </row>
    <row r="12" spans="2:10" x14ac:dyDescent="0.35">
      <c r="D12" s="55"/>
    </row>
  </sheetData>
  <mergeCells count="3">
    <mergeCell ref="I5:I6"/>
    <mergeCell ref="J5:J6"/>
    <mergeCell ref="D5:H5"/>
  </mergeCells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1:M61"/>
  <sheetViews>
    <sheetView tabSelected="1" topLeftCell="A12" zoomScale="70" zoomScaleNormal="70" workbookViewId="0">
      <selection activeCell="K37" sqref="K37"/>
    </sheetView>
  </sheetViews>
  <sheetFormatPr defaultRowHeight="14.5" outlineLevelRow="1" x14ac:dyDescent="0.35"/>
  <cols>
    <col min="2" max="2" width="4" customWidth="1"/>
    <col min="3" max="3" width="26.81640625" customWidth="1"/>
    <col min="4" max="4" width="32.453125" customWidth="1"/>
    <col min="5" max="5" width="33.81640625" customWidth="1"/>
    <col min="6" max="6" width="22.36328125" bestFit="1" customWidth="1"/>
    <col min="7" max="7" width="13" customWidth="1"/>
    <col min="8" max="8" width="14.6328125" hidden="1" customWidth="1"/>
    <col min="9" max="9" width="18.453125" hidden="1" customWidth="1"/>
    <col min="10" max="10" width="39" hidden="1" customWidth="1"/>
    <col min="11" max="11" width="26" customWidth="1"/>
    <col min="12" max="12" width="10.453125" customWidth="1"/>
  </cols>
  <sheetData>
    <row r="1" spans="3:13" ht="15" thickBot="1" x14ac:dyDescent="0.4"/>
    <row r="2" spans="3:13" ht="15" thickBot="1" x14ac:dyDescent="0.4">
      <c r="C2" s="76" t="str">
        <f>Input!C13</f>
        <v>VPA-01 Iridimi (GS3445)</v>
      </c>
    </row>
    <row r="3" spans="3:13" ht="15.5" outlineLevel="1" x14ac:dyDescent="0.35">
      <c r="G3" s="31"/>
      <c r="H3" s="32">
        <f>Input!$E$20</f>
        <v>2019</v>
      </c>
      <c r="I3" s="32">
        <f>IF(H3&lt;YEAR(Input!$E$13),H3+1,"N/A")</f>
        <v>2020</v>
      </c>
      <c r="J3" s="32">
        <f>IF(I3&lt;YEAR(Input!$E$13),I3+1,"N/A")</f>
        <v>2021</v>
      </c>
      <c r="K3" s="100">
        <f>IF(J3&lt;YEAR(Input!$E$13),J3+1,"N/A")</f>
        <v>2022</v>
      </c>
      <c r="L3" s="100">
        <f>IF(K3&lt;YEAR(Input!$E$13),K3+1,"N/A")</f>
        <v>2023</v>
      </c>
      <c r="M3" s="36" t="s">
        <v>6</v>
      </c>
    </row>
    <row r="4" spans="3:13" ht="15.5" outlineLevel="1" x14ac:dyDescent="0.35">
      <c r="F4" s="15" t="s">
        <v>74</v>
      </c>
      <c r="G4" s="15" t="s">
        <v>75</v>
      </c>
      <c r="H4" s="33" t="str">
        <f>Input!M$13</f>
        <v>AG 4-5</v>
      </c>
      <c r="I4" s="33" t="str">
        <f>Input!N$13</f>
        <v>AG 3-4</v>
      </c>
      <c r="J4" s="33" t="str">
        <f>Input!O$13</f>
        <v>AG 2-3</v>
      </c>
      <c r="K4" s="99" t="str">
        <f>Input!P$13</f>
        <v>AG 1-2</v>
      </c>
      <c r="L4" s="99" t="str">
        <f>Input!Q$13</f>
        <v>AG 0-1</v>
      </c>
    </row>
    <row r="5" spans="3:13" ht="15.5" outlineLevel="1" x14ac:dyDescent="0.35">
      <c r="C5" s="86" t="s">
        <v>76</v>
      </c>
      <c r="D5" s="85"/>
      <c r="E5" s="85"/>
      <c r="H5" s="18"/>
      <c r="I5" s="18"/>
      <c r="J5" s="18"/>
      <c r="K5" s="18"/>
      <c r="L5" s="18"/>
    </row>
    <row r="6" spans="3:13" outlineLevel="1" x14ac:dyDescent="0.35">
      <c r="C6" s="85"/>
      <c r="D6" s="85"/>
      <c r="E6" s="85"/>
      <c r="F6" t="s">
        <v>77</v>
      </c>
      <c r="H6" s="20">
        <f>IF(ISNUMBER(H8),H7*H8*H9*(H10*H11+H12)*(1-H13),"-")</f>
        <v>0</v>
      </c>
      <c r="I6" s="20">
        <f>IF(ISNUMBER(I8),I7*I8*I9*(I10*I11+I12)*(1-I13),"-")</f>
        <v>0</v>
      </c>
      <c r="J6" s="20">
        <f t="shared" ref="J6" si="0">IF(ISNUMBER(J8),J7*J8*J9*(J10*J11+J12)*(1-J13),"-")</f>
        <v>0</v>
      </c>
      <c r="K6" s="20">
        <f>IF(ISNUMBER(K8),K7*K8*K9*(K10*K11+K12)*(1-K13),"-")</f>
        <v>4010.9722860143975</v>
      </c>
      <c r="L6" s="20">
        <f>IF(ISNUMBER(L8),L7*L8*L9*(L10*L11+L12)*(1-L13),"-")</f>
        <v>2449.2225373462838</v>
      </c>
    </row>
    <row r="7" spans="3:13" outlineLevel="1" x14ac:dyDescent="0.35">
      <c r="C7" s="85" t="s">
        <v>78</v>
      </c>
      <c r="D7" t="s">
        <v>79</v>
      </c>
      <c r="H7" s="30">
        <f>VLOOKUP($C2,Input!$K$22:$R$23,3,FALSE)</f>
        <v>0</v>
      </c>
      <c r="I7" s="30">
        <f>VLOOKUP($C2,Input!$K$22:$R$23,4,FALSE)</f>
        <v>0</v>
      </c>
      <c r="J7" s="30">
        <f>VLOOKUP($C2,Input!$K$22:$R$23,5,FALSE)</f>
        <v>0</v>
      </c>
      <c r="K7" s="30">
        <f>VLOOKUP($C2,Input!$K$22:$R$23,6,FALSE)</f>
        <v>1756.5616438356165</v>
      </c>
      <c r="L7" s="30">
        <f>VLOOKUP($C2,Input!$K$22:$R$23,7,FALSE)</f>
        <v>1035.4191780821918</v>
      </c>
    </row>
    <row r="8" spans="3:13" outlineLevel="1" x14ac:dyDescent="0.35">
      <c r="C8" s="85" t="s">
        <v>80</v>
      </c>
      <c r="D8" t="s">
        <v>81</v>
      </c>
      <c r="F8" t="s">
        <v>82</v>
      </c>
      <c r="H8" s="17">
        <f t="shared" ref="H8:K8" si="1">H17</f>
        <v>2.0758064516129036</v>
      </c>
      <c r="I8" s="17">
        <f t="shared" si="1"/>
        <v>2.0758064516129036</v>
      </c>
      <c r="J8" s="17">
        <f t="shared" si="1"/>
        <v>2.0758064516129036</v>
      </c>
      <c r="K8" s="17">
        <f t="shared" si="1"/>
        <v>2.0758064516129036</v>
      </c>
      <c r="L8" s="17">
        <f>L17</f>
        <v>2.0758064516129036</v>
      </c>
    </row>
    <row r="9" spans="3:13" ht="12.65" customHeight="1" outlineLevel="1" x14ac:dyDescent="0.35">
      <c r="C9" s="85" t="s">
        <v>7</v>
      </c>
      <c r="D9" t="s">
        <v>83</v>
      </c>
      <c r="F9" t="s">
        <v>8</v>
      </c>
      <c r="H9" s="29">
        <f>Input!M$15</f>
        <v>0</v>
      </c>
      <c r="I9" s="29">
        <f>Input!N$15</f>
        <v>0</v>
      </c>
      <c r="J9" s="29">
        <f>Input!O$15</f>
        <v>0</v>
      </c>
      <c r="K9" s="29">
        <f>Input!P$15</f>
        <v>0.99173553719008267</v>
      </c>
      <c r="L9" s="29">
        <f>Input!Q$15</f>
        <v>0.98561151079136688</v>
      </c>
    </row>
    <row r="10" spans="3:13" outlineLevel="1" x14ac:dyDescent="0.35">
      <c r="C10" s="85" t="s">
        <v>28</v>
      </c>
      <c r="D10" t="s">
        <v>84</v>
      </c>
      <c r="F10" t="s">
        <v>8</v>
      </c>
      <c r="H10" s="16">
        <f>Input!$E$36</f>
        <v>0.96</v>
      </c>
      <c r="I10" s="16">
        <f>Input!$E$36</f>
        <v>0.96</v>
      </c>
      <c r="J10" s="16">
        <f>Input!$E$36</f>
        <v>0.96</v>
      </c>
      <c r="K10" s="16">
        <f>Input!$E$36</f>
        <v>0.96</v>
      </c>
      <c r="L10" s="16">
        <f>Input!$E$36</f>
        <v>0.96</v>
      </c>
    </row>
    <row r="11" spans="3:13" outlineLevel="1" x14ac:dyDescent="0.35">
      <c r="C11" s="85" t="s">
        <v>29</v>
      </c>
      <c r="D11" t="s">
        <v>85</v>
      </c>
      <c r="F11" t="s">
        <v>30</v>
      </c>
      <c r="H11" s="17">
        <f>Input!$E$37</f>
        <v>1.7471999999999999</v>
      </c>
      <c r="I11" s="17">
        <f>Input!$E$37</f>
        <v>1.7471999999999999</v>
      </c>
      <c r="J11" s="17">
        <f>Input!$E$37</f>
        <v>1.7471999999999999</v>
      </c>
      <c r="K11" s="17">
        <f>Input!$E$37</f>
        <v>1.7471999999999999</v>
      </c>
      <c r="L11" s="17">
        <f>Input!$E$37</f>
        <v>1.7471999999999999</v>
      </c>
    </row>
    <row r="12" spans="3:13" outlineLevel="1" x14ac:dyDescent="0.35">
      <c r="C12" s="85" t="s">
        <v>31</v>
      </c>
      <c r="D12" t="s">
        <v>86</v>
      </c>
      <c r="F12" t="s">
        <v>30</v>
      </c>
      <c r="H12" s="17">
        <f>Input!$E$38</f>
        <v>0.58115070000000002</v>
      </c>
      <c r="I12" s="17">
        <f>Input!$E$38</f>
        <v>0.58115070000000002</v>
      </c>
      <c r="J12" s="17">
        <f>Input!$E$38</f>
        <v>0.58115070000000002</v>
      </c>
      <c r="K12" s="17">
        <f>Input!$E$38</f>
        <v>0.58115070000000002</v>
      </c>
      <c r="L12" s="17">
        <f>Input!$E$38</f>
        <v>0.58115070000000002</v>
      </c>
    </row>
    <row r="13" spans="3:13" outlineLevel="1" x14ac:dyDescent="0.35">
      <c r="C13" s="85" t="s">
        <v>9</v>
      </c>
      <c r="D13" t="s">
        <v>87</v>
      </c>
      <c r="F13" t="s">
        <v>8</v>
      </c>
      <c r="H13" s="29">
        <f>Input!M$16</f>
        <v>0</v>
      </c>
      <c r="I13" s="29">
        <f>Input!N$16</f>
        <v>0</v>
      </c>
      <c r="J13" s="29">
        <f>Input!O$16</f>
        <v>0</v>
      </c>
      <c r="K13" s="29">
        <f>Input!P$16</f>
        <v>0.50887661862990807</v>
      </c>
      <c r="L13" s="29">
        <f>Input!Q$16</f>
        <v>0.48807481519482387</v>
      </c>
    </row>
    <row r="14" spans="3:13" outlineLevel="1" x14ac:dyDescent="0.35"/>
    <row r="15" spans="3:13" outlineLevel="1" x14ac:dyDescent="0.35"/>
    <row r="16" spans="3:13" outlineLevel="1" x14ac:dyDescent="0.35">
      <c r="C16" s="86" t="s">
        <v>80</v>
      </c>
      <c r="D16" s="86" t="s">
        <v>81</v>
      </c>
      <c r="E16" s="85"/>
    </row>
    <row r="17" spans="3:13" outlineLevel="1" x14ac:dyDescent="0.35">
      <c r="C17" s="85"/>
      <c r="D17" s="85"/>
      <c r="E17" s="85"/>
      <c r="F17" t="s">
        <v>88</v>
      </c>
      <c r="H17" s="19">
        <f>IF(ISNUMBER(H20),H18*(1-H19/H20),"-")</f>
        <v>2.0758064516129036</v>
      </c>
      <c r="I17" s="19">
        <f>IF(ISNUMBER(I20),I18*(1-I19/I20),"-")</f>
        <v>2.0758064516129036</v>
      </c>
      <c r="J17" s="19">
        <f t="shared" ref="J17:K17" si="2">IF(ISNUMBER(J20),J18*(1-J19/J20),"-")</f>
        <v>2.0758064516129036</v>
      </c>
      <c r="K17" s="19">
        <f t="shared" si="2"/>
        <v>2.0758064516129036</v>
      </c>
      <c r="L17" s="19">
        <f>IF(ISNUMBER(L20),L18*(1-L19/L20),"-")</f>
        <v>2.0758064516129036</v>
      </c>
    </row>
    <row r="18" spans="3:13" outlineLevel="1" x14ac:dyDescent="0.35">
      <c r="C18" s="85" t="s">
        <v>89</v>
      </c>
      <c r="D18" t="s">
        <v>90</v>
      </c>
      <c r="H18" s="17">
        <f>VLOOKUP($C2,Input!$C$33:$E$34,3,FALSE)</f>
        <v>2.306451612903226</v>
      </c>
      <c r="I18" s="17">
        <f>VLOOKUP($C2,Input!$C$33:$E$34,3,FALSE)</f>
        <v>2.306451612903226</v>
      </c>
      <c r="J18" s="17">
        <f>VLOOKUP($C2,Input!$C$33:$E$34,3,FALSE)</f>
        <v>2.306451612903226</v>
      </c>
      <c r="K18" s="17">
        <f>VLOOKUP($C2,Input!$C$33:$E$34,3,FALSE)</f>
        <v>2.306451612903226</v>
      </c>
      <c r="L18" s="17">
        <f>VLOOKUP($C2,Input!$C$33:$E$34,3,FALSE)</f>
        <v>2.306451612903226</v>
      </c>
    </row>
    <row r="19" spans="3:13" outlineLevel="1" x14ac:dyDescent="0.35">
      <c r="C19" s="85" t="s">
        <v>91</v>
      </c>
      <c r="D19" t="s">
        <v>92</v>
      </c>
      <c r="F19" t="s">
        <v>8</v>
      </c>
      <c r="H19" s="16">
        <f>IF(Input!$E$42="Default",Input!$E$43,Input!$E$44)</f>
        <v>0.1</v>
      </c>
      <c r="I19" s="16">
        <f>IF(Input!$E$42="Default",Input!$E$43,Input!$E$44)</f>
        <v>0.1</v>
      </c>
      <c r="J19" s="16">
        <f>IF(Input!$E$42="Default",Input!$E$43,Input!$E$44)</f>
        <v>0.1</v>
      </c>
      <c r="K19" s="16">
        <f>IF(Input!$E$42="Default",Input!$E$43,Input!$E$44)</f>
        <v>0.1</v>
      </c>
      <c r="L19" s="16">
        <f>IF(Input!$E$42="Default",Input!$E$43,Input!$E$44)</f>
        <v>0.1</v>
      </c>
    </row>
    <row r="20" spans="3:13" outlineLevel="1" x14ac:dyDescent="0.35">
      <c r="C20" s="85" t="s">
        <v>93</v>
      </c>
      <c r="D20" t="s">
        <v>94</v>
      </c>
      <c r="F20" t="s">
        <v>8</v>
      </c>
      <c r="H20" s="16">
        <f>Input!$E$45</f>
        <v>1</v>
      </c>
      <c r="I20" s="16">
        <f>Input!$E$45</f>
        <v>1</v>
      </c>
      <c r="J20" s="16">
        <f>Input!$E$45</f>
        <v>1</v>
      </c>
      <c r="K20" s="16">
        <f>Input!$E$45</f>
        <v>1</v>
      </c>
      <c r="L20" s="16">
        <f>Input!$E$45</f>
        <v>1</v>
      </c>
    </row>
    <row r="21" spans="3:13" outlineLevel="1" x14ac:dyDescent="0.35">
      <c r="H21" s="60"/>
      <c r="I21" s="61"/>
    </row>
    <row r="22" spans="3:13" outlineLevel="1" x14ac:dyDescent="0.35"/>
    <row r="23" spans="3:13" outlineLevel="1" x14ac:dyDescent="0.35">
      <c r="C23" s="86" t="s">
        <v>41</v>
      </c>
      <c r="D23" s="85"/>
      <c r="E23" s="85" t="s">
        <v>96</v>
      </c>
      <c r="H23" s="21">
        <f>IF(ISNUMBER(H6),IF(Input!$E$51="default",(1-Input!$E$52)*H6,(1-Input!$E$53)*H6),"-")</f>
        <v>0</v>
      </c>
      <c r="I23" s="21">
        <f>IF(ISNUMBER(I6),IF(Input!$E$51="default",(1-Input!$E$52)*I6,(1-Input!$E$53)*I6),"-")</f>
        <v>0</v>
      </c>
      <c r="J23" s="21">
        <f>IF(ISNUMBER(J6),IF(Input!$E$51="default",(1-Input!$E$52)*J6,(1-Input!$E$53)*J6),"-")</f>
        <v>0</v>
      </c>
      <c r="K23" s="21">
        <f>IF(ISNUMBER(K6),IF(Input!$E$51="default",(1-Input!$E$52)*K6,(1-Input!$E$53)*K6),"-")</f>
        <v>200.54861430072006</v>
      </c>
      <c r="L23" s="21">
        <f>IF(ISNUMBER(L6),IF(Input!$E$51="default",(1-Input!$E$52)*L6,(1-Input!$E$53)*L6),"-")</f>
        <v>122.46112686731431</v>
      </c>
    </row>
    <row r="24" spans="3:13" ht="15" outlineLevel="1" thickBot="1" x14ac:dyDescent="0.4"/>
    <row r="25" spans="3:13" outlineLevel="1" x14ac:dyDescent="0.35">
      <c r="C25" s="77" t="s">
        <v>97</v>
      </c>
      <c r="D25" s="78"/>
      <c r="E25" s="78" t="s">
        <v>96</v>
      </c>
      <c r="F25" s="78"/>
      <c r="G25" s="78"/>
      <c r="H25" s="79">
        <f>IF(ISNUMBER(H23),H6-H23,"-")</f>
        <v>0</v>
      </c>
      <c r="I25" s="79">
        <f>IF(ISNUMBER(I23),I6-I23,"-")</f>
        <v>0</v>
      </c>
      <c r="J25" s="79">
        <f>IF(ISNUMBER(J23),J6-J23,"-")</f>
        <v>0</v>
      </c>
      <c r="K25" s="79">
        <f>IF(ISNUMBER(K23),K6-K23,"-")</f>
        <v>3810.4236717136773</v>
      </c>
      <c r="L25" s="79">
        <f>IF(ISNUMBER(L23),L6-L23,"-")</f>
        <v>2326.7614104789695</v>
      </c>
    </row>
    <row r="26" spans="3:13" ht="15" outlineLevel="1" thickBot="1" x14ac:dyDescent="0.4">
      <c r="C26" s="80" t="s">
        <v>98</v>
      </c>
      <c r="D26" s="81"/>
      <c r="E26" s="82" t="s">
        <v>99</v>
      </c>
      <c r="F26" s="83"/>
      <c r="G26" s="81">
        <f>ROUNDDOWN(SUM(H25:L25),0)</f>
        <v>6137</v>
      </c>
      <c r="H26" s="84"/>
      <c r="I26" s="84"/>
      <c r="J26" s="84"/>
      <c r="K26" s="84"/>
      <c r="L26" s="84"/>
    </row>
    <row r="27" spans="3:13" outlineLevel="1" x14ac:dyDescent="0.35">
      <c r="H27" s="59">
        <f>H7*H17*H10*H9*(1-H13)</f>
        <v>0</v>
      </c>
      <c r="I27" s="59">
        <f>I7*I17*I10*I9*(1-I13)</f>
        <v>0</v>
      </c>
      <c r="J27" s="59">
        <f>J7*J17*J10*J9*(1-J13)</f>
        <v>0</v>
      </c>
    </row>
    <row r="28" spans="3:13" outlineLevel="1" x14ac:dyDescent="0.35">
      <c r="C28" s="15" t="s">
        <v>112</v>
      </c>
      <c r="H28" s="59"/>
      <c r="I28" s="59"/>
      <c r="J28" s="59"/>
      <c r="K28" s="59">
        <f>K8*K13*K10*K9*K7</f>
        <v>1766.5659620706249</v>
      </c>
      <c r="L28" s="59">
        <f t="shared" ref="L28" si="3">L8*L13*L10*L9*L7</f>
        <v>992.5821494529481</v>
      </c>
      <c r="M28" s="59"/>
    </row>
    <row r="29" spans="3:13" ht="15" thickBot="1" x14ac:dyDescent="0.4"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1" spans="3:13" ht="15" thickBot="1" x14ac:dyDescent="0.4"/>
    <row r="32" spans="3:13" ht="15" thickBot="1" x14ac:dyDescent="0.4">
      <c r="C32" s="76" t="str">
        <f>Input!C14</f>
        <v>VPA-02 Touloum (GS12011)</v>
      </c>
    </row>
    <row r="33" spans="3:12" ht="15.5" outlineLevel="1" x14ac:dyDescent="0.35">
      <c r="G33" s="31"/>
      <c r="H33" s="32">
        <f>Input!$E$20</f>
        <v>2019</v>
      </c>
      <c r="I33" s="32">
        <f>IF(H33&lt;YEAR(Input!$E$13),H33+1,"N/A")</f>
        <v>2020</v>
      </c>
      <c r="J33" s="32">
        <f>IF(I33&lt;YEAR(Input!$E$13),I33+1,"N/A")</f>
        <v>2021</v>
      </c>
      <c r="K33" s="100">
        <f>IF(J33&lt;YEAR(Input!$E$13),J33+1,"N/A")</f>
        <v>2022</v>
      </c>
      <c r="L33" s="100">
        <f>IF(K33&lt;YEAR(Input!$E$13),K33+1,"N/A")</f>
        <v>2023</v>
      </c>
    </row>
    <row r="34" spans="3:12" ht="15.5" outlineLevel="1" x14ac:dyDescent="0.35">
      <c r="F34" s="15" t="s">
        <v>74</v>
      </c>
      <c r="G34" s="15" t="s">
        <v>75</v>
      </c>
      <c r="H34" s="33" t="str">
        <f>Input!M$13</f>
        <v>AG 4-5</v>
      </c>
      <c r="I34" s="33" t="str">
        <f>Input!N$13</f>
        <v>AG 3-4</v>
      </c>
      <c r="J34" s="33" t="str">
        <f>Input!O$13</f>
        <v>AG 2-3</v>
      </c>
      <c r="K34" s="99" t="str">
        <f>Input!P$13</f>
        <v>AG 1-2</v>
      </c>
      <c r="L34" s="99" t="str">
        <f>Input!Q$13</f>
        <v>AG 0-1</v>
      </c>
    </row>
    <row r="35" spans="3:12" ht="15.5" outlineLevel="1" x14ac:dyDescent="0.35">
      <c r="C35" s="86" t="s">
        <v>76</v>
      </c>
      <c r="D35" s="85"/>
      <c r="E35" s="85"/>
      <c r="H35" s="18"/>
      <c r="I35" s="18"/>
      <c r="J35" s="18"/>
      <c r="K35" s="18"/>
      <c r="L35" s="18"/>
    </row>
    <row r="36" spans="3:12" outlineLevel="1" x14ac:dyDescent="0.35">
      <c r="C36" s="85"/>
      <c r="D36" s="85"/>
      <c r="E36" s="85"/>
      <c r="F36" t="s">
        <v>77</v>
      </c>
      <c r="H36" s="20">
        <f>IF(ISNUMBER(H38),H37*H38*H39*(H40*H41+H42)*(1-H43),"-")</f>
        <v>0</v>
      </c>
      <c r="I36" s="20">
        <f t="shared" ref="I36:K36" si="4">IF(ISNUMBER(I38),I37*I38*I39*(I40*I41+I42)*(1-I43),"-")</f>
        <v>0</v>
      </c>
      <c r="J36" s="20">
        <f t="shared" si="4"/>
        <v>0</v>
      </c>
      <c r="K36" s="20">
        <f t="shared" si="4"/>
        <v>5953.0826188747287</v>
      </c>
      <c r="L36" s="20">
        <f>IF(ISNUMBER(L38),L37*L38*L39*(L40*L41+L42)*(1-L43),"-")</f>
        <v>6304.5622221788799</v>
      </c>
    </row>
    <row r="37" spans="3:12" outlineLevel="1" x14ac:dyDescent="0.35">
      <c r="C37" s="85" t="s">
        <v>78</v>
      </c>
      <c r="D37" t="s">
        <v>79</v>
      </c>
      <c r="H37" s="30">
        <f>VLOOKUP($C32,Input!$K$22:$R$23,3,FALSE)</f>
        <v>0</v>
      </c>
      <c r="I37" s="30">
        <f>VLOOKUP($C32,Input!$K$22:$R$23,4,FALSE)</f>
        <v>0</v>
      </c>
      <c r="J37" s="30">
        <f>VLOOKUP($C32,Input!$K$22:$R$23,5,FALSE)</f>
        <v>0</v>
      </c>
      <c r="K37" s="30">
        <f>VLOOKUP($C32,Input!$K$22:$R$23,6,FALSE)</f>
        <v>2319.9561643835618</v>
      </c>
      <c r="L37" s="30">
        <f>VLOOKUP($C32,Input!$K$22:$R$23,7,FALSE)</f>
        <v>2371.7397260273974</v>
      </c>
    </row>
    <row r="38" spans="3:12" outlineLevel="1" x14ac:dyDescent="0.35">
      <c r="C38" s="85" t="s">
        <v>80</v>
      </c>
      <c r="D38" t="s">
        <v>81</v>
      </c>
      <c r="F38" t="s">
        <v>82</v>
      </c>
      <c r="H38" s="17">
        <f t="shared" ref="H38:L38" si="5">H47</f>
        <v>2.3327205882352939</v>
      </c>
      <c r="I38" s="17">
        <f t="shared" si="5"/>
        <v>2.3327205882352939</v>
      </c>
      <c r="J38" s="17">
        <f t="shared" si="5"/>
        <v>2.3327205882352939</v>
      </c>
      <c r="K38" s="17">
        <f t="shared" si="5"/>
        <v>2.3327205882352939</v>
      </c>
      <c r="L38" s="17">
        <f t="shared" si="5"/>
        <v>2.3327205882352939</v>
      </c>
    </row>
    <row r="39" spans="3:12" outlineLevel="1" x14ac:dyDescent="0.35">
      <c r="C39" s="85" t="s">
        <v>7</v>
      </c>
      <c r="D39" t="s">
        <v>83</v>
      </c>
      <c r="F39" t="s">
        <v>8</v>
      </c>
      <c r="H39" s="29">
        <f>Input!M$15</f>
        <v>0</v>
      </c>
      <c r="I39" s="29">
        <f>Input!N$15</f>
        <v>0</v>
      </c>
      <c r="J39" s="29">
        <f>Input!O$15</f>
        <v>0</v>
      </c>
      <c r="K39" s="29">
        <f>Input!P$15</f>
        <v>0.99173553719008267</v>
      </c>
      <c r="L39" s="29">
        <f>Input!Q$15</f>
        <v>0.98561151079136688</v>
      </c>
    </row>
    <row r="40" spans="3:12" outlineLevel="1" x14ac:dyDescent="0.35">
      <c r="C40" s="85" t="s">
        <v>28</v>
      </c>
      <c r="D40" t="s">
        <v>84</v>
      </c>
      <c r="F40" t="s">
        <v>8</v>
      </c>
      <c r="H40" s="16">
        <f>Input!$E$36</f>
        <v>0.96</v>
      </c>
      <c r="I40" s="16">
        <f>Input!$E$36</f>
        <v>0.96</v>
      </c>
      <c r="J40" s="16">
        <f>Input!$E$36</f>
        <v>0.96</v>
      </c>
      <c r="K40" s="16">
        <f>Input!$E$36</f>
        <v>0.96</v>
      </c>
      <c r="L40" s="16">
        <f>Input!$E$36</f>
        <v>0.96</v>
      </c>
    </row>
    <row r="41" spans="3:12" outlineLevel="1" x14ac:dyDescent="0.35">
      <c r="C41" s="85" t="s">
        <v>29</v>
      </c>
      <c r="D41" t="s">
        <v>85</v>
      </c>
      <c r="F41" t="s">
        <v>30</v>
      </c>
      <c r="H41" s="17">
        <f>Input!$E$37</f>
        <v>1.7471999999999999</v>
      </c>
      <c r="I41" s="17">
        <f>Input!$E$37</f>
        <v>1.7471999999999999</v>
      </c>
      <c r="J41" s="17">
        <f>Input!$E$37</f>
        <v>1.7471999999999999</v>
      </c>
      <c r="K41" s="17">
        <f>Input!$E$37</f>
        <v>1.7471999999999999</v>
      </c>
      <c r="L41" s="17">
        <f>Input!$E$37</f>
        <v>1.7471999999999999</v>
      </c>
    </row>
    <row r="42" spans="3:12" outlineLevel="1" x14ac:dyDescent="0.35">
      <c r="C42" s="85" t="s">
        <v>31</v>
      </c>
      <c r="D42" t="s">
        <v>86</v>
      </c>
      <c r="F42" t="s">
        <v>30</v>
      </c>
      <c r="H42" s="17">
        <f>Input!$E$38</f>
        <v>0.58115070000000002</v>
      </c>
      <c r="I42" s="17">
        <f>Input!$E$38</f>
        <v>0.58115070000000002</v>
      </c>
      <c r="J42" s="17">
        <f>Input!$E$38</f>
        <v>0.58115070000000002</v>
      </c>
      <c r="K42" s="17">
        <f>Input!$E$38</f>
        <v>0.58115070000000002</v>
      </c>
      <c r="L42" s="17">
        <f>Input!$E$38</f>
        <v>0.58115070000000002</v>
      </c>
    </row>
    <row r="43" spans="3:12" outlineLevel="1" x14ac:dyDescent="0.35">
      <c r="C43" s="85" t="s">
        <v>9</v>
      </c>
      <c r="D43" t="s">
        <v>87</v>
      </c>
      <c r="F43" t="s">
        <v>8</v>
      </c>
      <c r="H43" s="29">
        <f>Input!M$16</f>
        <v>0</v>
      </c>
      <c r="I43" s="29">
        <f>Input!N$16</f>
        <v>0</v>
      </c>
      <c r="J43" s="29">
        <f>Input!O$16</f>
        <v>0</v>
      </c>
      <c r="K43" s="29">
        <f>Input!P$16</f>
        <v>0.50887661862990807</v>
      </c>
      <c r="L43" s="29">
        <f>Input!Q$16</f>
        <v>0.48807481519482387</v>
      </c>
    </row>
    <row r="44" spans="3:12" outlineLevel="1" x14ac:dyDescent="0.35"/>
    <row r="45" spans="3:12" outlineLevel="1" x14ac:dyDescent="0.35"/>
    <row r="46" spans="3:12" outlineLevel="1" x14ac:dyDescent="0.35">
      <c r="C46" s="86" t="s">
        <v>80</v>
      </c>
      <c r="D46" s="86" t="s">
        <v>81</v>
      </c>
      <c r="E46" s="85"/>
    </row>
    <row r="47" spans="3:12" outlineLevel="1" x14ac:dyDescent="0.35">
      <c r="C47" s="85"/>
      <c r="D47" s="85"/>
      <c r="E47" s="85"/>
      <c r="F47" t="s">
        <v>88</v>
      </c>
      <c r="H47" s="19">
        <f>IF(ISNUMBER(H50),H48*(1-H49/H50),"-")</f>
        <v>2.3327205882352939</v>
      </c>
      <c r="I47" s="19">
        <f t="shared" ref="I47:L47" si="6">IF(ISNUMBER(I50),I48*(1-I49/I50),"-")</f>
        <v>2.3327205882352939</v>
      </c>
      <c r="J47" s="19">
        <f t="shared" si="6"/>
        <v>2.3327205882352939</v>
      </c>
      <c r="K47" s="19">
        <f t="shared" si="6"/>
        <v>2.3327205882352939</v>
      </c>
      <c r="L47" s="19">
        <f t="shared" si="6"/>
        <v>2.3327205882352939</v>
      </c>
    </row>
    <row r="48" spans="3:12" outlineLevel="1" x14ac:dyDescent="0.35">
      <c r="C48" s="85" t="s">
        <v>89</v>
      </c>
      <c r="D48" t="s">
        <v>90</v>
      </c>
      <c r="H48" s="17">
        <f>VLOOKUP($C32,Input!$C$33:$E$34,3,FALSE)</f>
        <v>2.5919117647058822</v>
      </c>
      <c r="I48" s="17">
        <f>VLOOKUP($C32,Input!$C$33:$E$34,3,FALSE)</f>
        <v>2.5919117647058822</v>
      </c>
      <c r="J48" s="17">
        <f>VLOOKUP($C32,Input!$C$33:$E$34,3,FALSE)</f>
        <v>2.5919117647058822</v>
      </c>
      <c r="K48" s="17">
        <f>VLOOKUP($C32,Input!$C$33:$E$34,3,FALSE)</f>
        <v>2.5919117647058822</v>
      </c>
      <c r="L48" s="17">
        <f>VLOOKUP($C32,Input!$C$33:$E$34,3,FALSE)</f>
        <v>2.5919117647058822</v>
      </c>
    </row>
    <row r="49" spans="3:12" outlineLevel="1" x14ac:dyDescent="0.35">
      <c r="C49" s="85" t="s">
        <v>91</v>
      </c>
      <c r="D49" t="s">
        <v>92</v>
      </c>
      <c r="F49" t="s">
        <v>8</v>
      </c>
      <c r="H49" s="16">
        <f>IF(Input!$E$42="Default",Input!$E$43,Input!$E$44)</f>
        <v>0.1</v>
      </c>
      <c r="I49" s="16">
        <f>IF(Input!$E$42="Default",Input!$E$43,Input!$E$44)</f>
        <v>0.1</v>
      </c>
      <c r="J49" s="16">
        <f>IF(Input!$E$42="Default",Input!$E$43,Input!$E$44)</f>
        <v>0.1</v>
      </c>
      <c r="K49" s="16">
        <f>IF(Input!$E$42="Default",Input!$E$43,Input!$E$44)</f>
        <v>0.1</v>
      </c>
      <c r="L49" s="16">
        <f>IF(Input!$E$42="Default",Input!$E$43,Input!$E$44)</f>
        <v>0.1</v>
      </c>
    </row>
    <row r="50" spans="3:12" outlineLevel="1" x14ac:dyDescent="0.35">
      <c r="C50" s="85" t="s">
        <v>93</v>
      </c>
      <c r="D50" t="s">
        <v>94</v>
      </c>
      <c r="F50" t="s">
        <v>8</v>
      </c>
      <c r="H50" s="16">
        <f>Input!$E$45</f>
        <v>1</v>
      </c>
      <c r="I50" s="16">
        <f>Input!$E$45</f>
        <v>1</v>
      </c>
      <c r="J50" s="16">
        <f>Input!$E$45</f>
        <v>1</v>
      </c>
      <c r="K50" s="16">
        <f>Input!$E$45</f>
        <v>1</v>
      </c>
      <c r="L50" s="16">
        <f>Input!$E$45</f>
        <v>1</v>
      </c>
    </row>
    <row r="51" spans="3:12" outlineLevel="1" x14ac:dyDescent="0.35"/>
    <row r="52" spans="3:12" outlineLevel="1" x14ac:dyDescent="0.35"/>
    <row r="53" spans="3:12" outlineLevel="1" x14ac:dyDescent="0.35"/>
    <row r="54" spans="3:12" outlineLevel="1" x14ac:dyDescent="0.35"/>
    <row r="55" spans="3:12" outlineLevel="1" x14ac:dyDescent="0.35">
      <c r="C55" s="86" t="s">
        <v>41</v>
      </c>
      <c r="D55" s="85"/>
      <c r="E55" s="85" t="s">
        <v>96</v>
      </c>
      <c r="H55" s="21">
        <f>IF(ISNUMBER(H36),IF(Input!$E$51="default",(1-Input!$E$52)*H36,(1-Input!$E$53)*H36),"-")</f>
        <v>0</v>
      </c>
      <c r="I55" s="21">
        <f>IF(ISNUMBER(I36),IF(Input!$E$51="default",(1-Input!$E$52)*I36,(1-Input!$E$53)*I36),"-")</f>
        <v>0</v>
      </c>
      <c r="J55" s="21">
        <f>IF(ISNUMBER(J36),IF(Input!$E$51="default",(1-Input!$E$52)*J36,(1-Input!$E$53)*J36),"-")</f>
        <v>0</v>
      </c>
      <c r="K55" s="21">
        <f>IF(ISNUMBER(K36),IF(Input!$E$51="default",(1-Input!$E$52)*K36,(1-Input!$E$53)*K36),"-")</f>
        <v>297.65413094373667</v>
      </c>
      <c r="L55" s="21">
        <f>IF(ISNUMBER(L36),IF(Input!$E$51="default",(1-Input!$E$52)*L36,(1-Input!$E$53)*L36),"-")</f>
        <v>315.22811110894429</v>
      </c>
    </row>
    <row r="56" spans="3:12" ht="15" outlineLevel="1" thickBot="1" x14ac:dyDescent="0.4"/>
    <row r="57" spans="3:12" outlineLevel="1" x14ac:dyDescent="0.35">
      <c r="C57" s="77" t="s">
        <v>97</v>
      </c>
      <c r="D57" s="78"/>
      <c r="E57" s="78" t="s">
        <v>96</v>
      </c>
      <c r="F57" s="78"/>
      <c r="G57" s="78"/>
      <c r="H57" s="79">
        <f>IF(ISNUMBER(H55),H36-H55,"-")</f>
        <v>0</v>
      </c>
      <c r="I57" s="79">
        <f>IF(ISNUMBER(I55),I36-I55,"-")</f>
        <v>0</v>
      </c>
      <c r="J57" s="79">
        <f>IF(ISNUMBER(J55),J36-J55,"-")</f>
        <v>0</v>
      </c>
      <c r="K57" s="79">
        <f>IF(ISNUMBER(K55),K36-K55,"-")</f>
        <v>5655.4284879309917</v>
      </c>
      <c r="L57" s="79">
        <f>IF(ISNUMBER(L55),L36-L55,"-")</f>
        <v>5989.3341110699357</v>
      </c>
    </row>
    <row r="58" spans="3:12" ht="15" outlineLevel="1" thickBot="1" x14ac:dyDescent="0.4">
      <c r="C58" s="80" t="s">
        <v>98</v>
      </c>
      <c r="D58" s="81"/>
      <c r="E58" s="82" t="s">
        <v>99</v>
      </c>
      <c r="F58" s="83"/>
      <c r="G58" s="81">
        <f>SUM(H57:L57)</f>
        <v>11644.762599000927</v>
      </c>
      <c r="H58" s="84"/>
      <c r="I58" s="84"/>
      <c r="J58" s="84"/>
      <c r="K58" s="84"/>
      <c r="L58" s="84"/>
    </row>
    <row r="59" spans="3:12" outlineLevel="1" x14ac:dyDescent="0.35">
      <c r="H59" s="59">
        <f>H37*H47*H40*H39*(1-H43)</f>
        <v>0</v>
      </c>
      <c r="I59" s="59">
        <f>I37*I47*I40*I39*(1-I43)</f>
        <v>0</v>
      </c>
      <c r="J59" s="59">
        <f>J37*J47*J40*J39*(1-J43)</f>
        <v>0</v>
      </c>
    </row>
    <row r="60" spans="3:12" outlineLevel="1" x14ac:dyDescent="0.35">
      <c r="C60" s="15" t="s">
        <v>112</v>
      </c>
      <c r="H60" s="59"/>
      <c r="I60" s="59"/>
      <c r="J60" s="59"/>
      <c r="K60" s="59">
        <f>K39*K43*K38*K40*K37</f>
        <v>2621.9361227121185</v>
      </c>
      <c r="L60" s="59">
        <f>L39*L43*L38*L40*L37</f>
        <v>2555.0132037534036</v>
      </c>
    </row>
    <row r="61" spans="3:12" ht="15" thickBot="1" x14ac:dyDescent="0.4">
      <c r="C61" s="13"/>
      <c r="D61" s="13"/>
      <c r="E61" s="13"/>
      <c r="F61" s="13"/>
      <c r="G61" s="13"/>
      <c r="H61" s="13"/>
      <c r="I61" s="13"/>
      <c r="J61" s="13"/>
      <c r="K61" s="13"/>
      <c r="L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a7f277-2304-400c-8c4e-f8a6b826ab33" xsi:nil="true"/>
    <lcf76f155ced4ddcb4097134ff3c332f xmlns="c8f6c47d-14b8-44ef-95c3-f17c9ce3f600">
      <Terms xmlns="http://schemas.microsoft.com/office/infopath/2007/PartnerControls"/>
    </lcf76f155ced4ddcb4097134ff3c332f>
    <IconOverlay xmlns="http://schemas.microsoft.com/sharepoint/v4" xsi:nil="true"/>
    <_dlc_DocId xmlns="a4a7f277-2304-400c-8c4e-f8a6b826ab33">M5M2R75XVKPY-750552773-124336</_dlc_DocId>
    <_dlc_DocIdUrl xmlns="a4a7f277-2304-400c-8c4e-f8a6b826ab33">
      <Url>https://fairclimatefundorg.sharepoint.com/sites/FCF/_layouts/15/DocIdRedir.aspx?ID=M5M2R75XVKPY-750552773-124336</Url>
      <Description>M5M2R75XVKPY-750552773-124336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EC760954B074E9531BA6FD1BC80F1" ma:contentTypeVersion="35" ma:contentTypeDescription="Create a new document." ma:contentTypeScope="" ma:versionID="e6c555df72c78210333dec03f4f39bf0">
  <xsd:schema xmlns:xsd="http://www.w3.org/2001/XMLSchema" xmlns:xs="http://www.w3.org/2001/XMLSchema" xmlns:p="http://schemas.microsoft.com/office/2006/metadata/properties" xmlns:ns2="a4a7f277-2304-400c-8c4e-f8a6b826ab33" xmlns:ns3="c8f6c47d-14b8-44ef-95c3-f17c9ce3f600" xmlns:ns4="http://schemas.microsoft.com/sharepoint/v4" targetNamespace="http://schemas.microsoft.com/office/2006/metadata/properties" ma:root="true" ma:fieldsID="54090944e1434c0b9388f28d9b49d73d" ns2:_="" ns3:_="" ns4:_="">
    <xsd:import namespace="a4a7f277-2304-400c-8c4e-f8a6b826ab33"/>
    <xsd:import namespace="c8f6c47d-14b8-44ef-95c3-f17c9ce3f60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4:IconOverla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7f277-2304-400c-8c4e-f8a6b826ab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d5928f7d-ee05-4cce-94a9-f4602854fae9}" ma:internalName="TaxCatchAll" ma:showField="CatchAllData" ma:web="a4a7f277-2304-400c-8c4e-f8a6b826a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c47d-14b8-44ef-95c3-f17c9ce3f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d157ce-d4a5-4856-946a-c17ebf743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86379-FB97-434B-A356-1399E655F5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  <ds:schemaRef ds:uri="a4a7f277-2304-400c-8c4e-f8a6b826ab33"/>
    <ds:schemaRef ds:uri="c8f6c47d-14b8-44ef-95c3-f17c9ce3f600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10DE909E-015A-4FFA-9C05-94F5EE1A7B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ER 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Victor Costenoble</cp:lastModifiedBy>
  <cp:revision/>
  <dcterms:created xsi:type="dcterms:W3CDTF">2020-08-25T13:33:04Z</dcterms:created>
  <dcterms:modified xsi:type="dcterms:W3CDTF">2025-03-25T10:40:44Z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0x010100C48EC760954B074E9531BA6FD1BC80F1</vt:lpwstr>
  </property>
  <property fmtid="{D5CDD505-2E9C-101B-9397-08002B2CF9AE}" pid="3" name="Order">
    <vt:r8>5700</vt:r8>
  </property>
  <property fmtid="{D5CDD505-2E9C-101B-9397-08002B2CF9AE}" pid="4" name="_dlc_DocIdItemGuid">
    <vt:lpwstr>62548bec-d510-4e42-8a18-87e56c605f2b</vt:lpwstr>
  </property>
  <property fmtid="{D5CDD505-2E9C-101B-9397-08002B2CF9AE}" pid="5" name="MediaServiceImageTags">
    <vt:lpwstr/>
  </property>
</Properties>
</file>