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211"/>
  <workbookPr filterPrivacy="1" defaultThemeVersion="124226"/>
  <xr:revisionPtr revIDLastSave="0" documentId="13_ncr:1_{51E4D706-5DF4-DF48-9BE3-7C05CDDE3450}" xr6:coauthVersionLast="47" xr6:coauthVersionMax="47" xr10:uidLastSave="{00000000-0000-0000-0000-000000000000}"/>
  <bookViews>
    <workbookView xWindow="0" yWindow="720" windowWidth="29400" windowHeight="18400" tabRatio="688" xr2:uid="{00000000-000D-0000-FFFF-FFFF00000000}"/>
  </bookViews>
  <sheets>
    <sheet name="ER Cal -Summary" sheetId="6" r:id="rId1"/>
    <sheet name="350 MW AP" sheetId="5" r:id="rId2"/>
    <sheet name="200 MW Pavagadaa" sheetId="9" r:id="rId3"/>
    <sheet name="250 MW AP" sheetId="7" r:id="rId4"/>
    <sheet name="300 MW Phalodi " sheetId="8"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5" i="7" l="1"/>
  <c r="C26" i="7" s="1"/>
  <c r="C34" i="7" s="1"/>
  <c r="C32" i="7"/>
  <c r="C36" i="9"/>
  <c r="C35" i="9"/>
  <c r="C34" i="9"/>
  <c r="C34" i="8"/>
  <c r="C33" i="8"/>
  <c r="C32" i="8"/>
  <c r="C31" i="5"/>
  <c r="D40" i="6"/>
  <c r="C40" i="6"/>
  <c r="D39" i="6"/>
  <c r="C39" i="6"/>
  <c r="D38" i="6"/>
  <c r="C38" i="6"/>
  <c r="C37" i="6"/>
  <c r="C24" i="7"/>
  <c r="C19" i="7"/>
  <c r="C26" i="8"/>
  <c r="C24" i="8"/>
  <c r="C25" i="8"/>
  <c r="C19" i="8"/>
  <c r="C30" i="5"/>
  <c r="C29" i="5"/>
  <c r="C24" i="5"/>
  <c r="C28" i="9"/>
  <c r="C27" i="9"/>
  <c r="C26" i="9"/>
  <c r="C21" i="9"/>
  <c r="K11" i="9"/>
  <c r="H13" i="9"/>
  <c r="F13" i="9"/>
  <c r="E13" i="9"/>
  <c r="D13" i="9"/>
  <c r="C13" i="9"/>
  <c r="F17" i="9"/>
  <c r="E17" i="9"/>
  <c r="C17" i="9"/>
  <c r="D17" i="9"/>
  <c r="H17" i="9"/>
  <c r="D37" i="6" l="1"/>
  <c r="C33" i="7"/>
  <c r="E31" i="6"/>
  <c r="G31" i="6" s="1"/>
  <c r="B16" i="8"/>
  <c r="B11" i="8"/>
  <c r="C15" i="7"/>
  <c r="E16" i="8"/>
  <c r="C16" i="8"/>
  <c r="F16" i="8"/>
  <c r="D16" i="8"/>
  <c r="C16" i="7"/>
  <c r="D16" i="7"/>
  <c r="L20" i="5"/>
  <c r="N20" i="5"/>
  <c r="M20" i="5"/>
  <c r="N19" i="5"/>
  <c r="M19" i="5"/>
  <c r="N18" i="5"/>
  <c r="O18" i="5" s="1"/>
  <c r="M18" i="5"/>
  <c r="N17" i="5"/>
  <c r="M17" i="5"/>
  <c r="N16" i="5"/>
  <c r="M16" i="5"/>
  <c r="N15" i="5"/>
  <c r="N14" i="5"/>
  <c r="M15" i="5"/>
  <c r="M14" i="5"/>
  <c r="P20" i="5"/>
  <c r="P15" i="5"/>
  <c r="E15" i="8"/>
  <c r="E14" i="8"/>
  <c r="E13" i="8"/>
  <c r="E12" i="8"/>
  <c r="E11" i="8"/>
  <c r="E10" i="8"/>
  <c r="C15" i="8"/>
  <c r="C14" i="8"/>
  <c r="C13" i="8"/>
  <c r="C11" i="8"/>
  <c r="C12" i="8"/>
  <c r="C10" i="8"/>
  <c r="P19" i="5"/>
  <c r="P18" i="5"/>
  <c r="P17" i="5"/>
  <c r="P16" i="5"/>
  <c r="P14" i="5"/>
  <c r="L19" i="5"/>
  <c r="L18" i="5"/>
  <c r="L17" i="5"/>
  <c r="L16" i="5"/>
  <c r="L15" i="5"/>
  <c r="H16" i="9"/>
  <c r="C16" i="9"/>
  <c r="D16" i="9"/>
  <c r="E16" i="9"/>
  <c r="F16" i="9"/>
  <c r="H15" i="9"/>
  <c r="D15" i="9"/>
  <c r="E15" i="9"/>
  <c r="F15" i="9"/>
  <c r="C15" i="9"/>
  <c r="H14" i="9"/>
  <c r="D14" i="9"/>
  <c r="E14" i="9"/>
  <c r="F14" i="9"/>
  <c r="C14" i="9"/>
  <c r="D12" i="9"/>
  <c r="E12" i="9"/>
  <c r="F12" i="9"/>
  <c r="C12" i="9"/>
  <c r="H12" i="9"/>
  <c r="H11" i="9"/>
  <c r="D11" i="9"/>
  <c r="E11" i="9"/>
  <c r="F11" i="9"/>
  <c r="C11" i="9"/>
  <c r="F15" i="8"/>
  <c r="F14" i="8"/>
  <c r="F13" i="8"/>
  <c r="F12" i="8"/>
  <c r="F11" i="8"/>
  <c r="F10" i="8"/>
  <c r="D15" i="8"/>
  <c r="D14" i="8"/>
  <c r="D13" i="8"/>
  <c r="D12" i="8"/>
  <c r="D11" i="8"/>
  <c r="D10" i="8"/>
  <c r="D15" i="7"/>
  <c r="D14" i="7"/>
  <c r="D13" i="7"/>
  <c r="D12" i="7"/>
  <c r="D11" i="7"/>
  <c r="C14" i="7"/>
  <c r="C13" i="7"/>
  <c r="C12" i="7"/>
  <c r="C11" i="7"/>
  <c r="D10" i="7"/>
  <c r="C10" i="7"/>
  <c r="J15" i="5"/>
  <c r="J16" i="5"/>
  <c r="J17" i="5"/>
  <c r="J18" i="5"/>
  <c r="J19" i="5"/>
  <c r="J20" i="5"/>
  <c r="G15" i="5"/>
  <c r="G16" i="5"/>
  <c r="G17" i="5"/>
  <c r="G18" i="5"/>
  <c r="G19" i="5"/>
  <c r="G20" i="5"/>
  <c r="J14" i="5"/>
  <c r="G14" i="5"/>
  <c r="L14" i="5"/>
  <c r="O20" i="5" l="1"/>
  <c r="G12" i="9"/>
  <c r="H18" i="9"/>
  <c r="D17" i="8"/>
  <c r="O19" i="5"/>
  <c r="O17" i="5"/>
  <c r="O16" i="5"/>
  <c r="O15" i="5"/>
  <c r="O14" i="5"/>
  <c r="K17" i="5"/>
  <c r="F17" i="8"/>
  <c r="E17" i="8"/>
  <c r="K20" i="5"/>
  <c r="K19" i="5"/>
  <c r="K18" i="5"/>
  <c r="K16" i="5"/>
  <c r="K15" i="5"/>
  <c r="K14" i="5"/>
  <c r="G17" i="9"/>
  <c r="G14" i="9"/>
  <c r="G15" i="9"/>
  <c r="G16" i="9"/>
  <c r="G13" i="9"/>
  <c r="G11" i="9"/>
  <c r="B12" i="9"/>
  <c r="B13" i="9"/>
  <c r="B14" i="9"/>
  <c r="B15" i="9"/>
  <c r="B16" i="9"/>
  <c r="B17" i="9"/>
  <c r="B11" i="9"/>
  <c r="L21" i="5" l="1"/>
  <c r="P21" i="5"/>
  <c r="E18" i="9"/>
  <c r="G18" i="9"/>
  <c r="C22" i="9" s="1"/>
  <c r="C23" i="9" s="1"/>
  <c r="D18" i="9"/>
  <c r="F18" i="9"/>
  <c r="B12" i="8"/>
  <c r="B13" i="8"/>
  <c r="B14" i="8"/>
  <c r="B15" i="8"/>
  <c r="B10" i="8"/>
  <c r="D17" i="7"/>
  <c r="C17" i="7"/>
  <c r="C20" i="7" s="1"/>
  <c r="C21" i="7" s="1"/>
  <c r="B11" i="7"/>
  <c r="B12" i="7"/>
  <c r="B13" i="7"/>
  <c r="B14" i="7"/>
  <c r="B15" i="7"/>
  <c r="B16" i="7"/>
  <c r="B10" i="7"/>
  <c r="D25" i="6" l="1"/>
  <c r="F25" i="6"/>
  <c r="H25" i="6" l="1"/>
  <c r="H31" i="6"/>
  <c r="C4" i="9"/>
  <c r="C3" i="9"/>
  <c r="C2" i="9"/>
  <c r="C5" i="8"/>
  <c r="C4" i="8"/>
  <c r="C3" i="8"/>
  <c r="C2" i="8"/>
  <c r="C6" i="7"/>
  <c r="C5" i="7"/>
  <c r="C4" i="7"/>
  <c r="C3" i="7"/>
  <c r="C2" i="7"/>
  <c r="C5" i="5"/>
  <c r="C4" i="5"/>
  <c r="C3" i="5"/>
  <c r="C2" i="5"/>
  <c r="C1" i="5"/>
  <c r="D10" i="6"/>
  <c r="E10" i="6" l="1"/>
  <c r="C17" i="8" l="1"/>
  <c r="C20" i="8" s="1"/>
  <c r="C21" i="8" s="1"/>
  <c r="D11" i="6" l="1"/>
  <c r="E11" i="6" s="1"/>
  <c r="C18" i="9"/>
  <c r="D12" i="6" l="1"/>
  <c r="E12" i="6" s="1"/>
  <c r="C23" i="8"/>
  <c r="C23" i="7"/>
  <c r="C25" i="9" l="1"/>
  <c r="K21" i="5" l="1"/>
  <c r="C25" i="5" s="1"/>
  <c r="D9" i="6" l="1"/>
  <c r="D13" i="6" s="1"/>
  <c r="C18" i="6" s="1"/>
  <c r="C26" i="5"/>
  <c r="C28" i="5" s="1"/>
  <c r="E18" i="6" l="1"/>
  <c r="H18" i="6" s="1"/>
  <c r="H19" i="6" s="1"/>
  <c r="C19" i="6"/>
  <c r="C13" i="6"/>
  <c r="E9" i="6"/>
  <c r="E13" i="6" s="1"/>
  <c r="E19" i="6" l="1"/>
  <c r="I25" i="6"/>
  <c r="I31" i="6" l="1"/>
  <c r="J31" i="6" s="1"/>
  <c r="J25" i="6"/>
</calcChain>
</file>

<file path=xl/sharedStrings.xml><?xml version="1.0" encoding="utf-8"?>
<sst xmlns="http://schemas.openxmlformats.org/spreadsheetml/2006/main" count="174" uniqueCount="97">
  <si>
    <t>Month</t>
  </si>
  <si>
    <t>Duration</t>
  </si>
  <si>
    <t>From</t>
  </si>
  <si>
    <t>To</t>
  </si>
  <si>
    <t>Total (MWh)</t>
  </si>
  <si>
    <t>Total</t>
  </si>
  <si>
    <t>Export (MWh)</t>
  </si>
  <si>
    <t>Import (MWh)</t>
  </si>
  <si>
    <t>Net Electricty (MWh)</t>
  </si>
  <si>
    <t>Months</t>
  </si>
  <si>
    <t>Project Title</t>
  </si>
  <si>
    <t>Project VCS ID</t>
  </si>
  <si>
    <t>.</t>
  </si>
  <si>
    <t>200 MW PAVAGADAA - KARNATAKA</t>
  </si>
  <si>
    <t>Duration Period</t>
  </si>
  <si>
    <t>Total Generation (MWh)</t>
  </si>
  <si>
    <t>Net Export (MWh)</t>
  </si>
  <si>
    <t>Emission Factor (MWh/tCO2e)</t>
  </si>
  <si>
    <t>Total Emission Reductions (tCO2e)</t>
  </si>
  <si>
    <t xml:space="preserve">Vintage Period </t>
  </si>
  <si>
    <t>Net Electricity Export (MWh)</t>
  </si>
  <si>
    <t>Emission Factor (tCO2/MWh)</t>
  </si>
  <si>
    <t>Baseline Emissions (tCO2)</t>
  </si>
  <si>
    <t>Project Emissions (tCO2)</t>
  </si>
  <si>
    <t>Leakage (tCO2)</t>
  </si>
  <si>
    <t>Emission Reductions (tCO2)</t>
  </si>
  <si>
    <t>Duration of Periodic Verification</t>
  </si>
  <si>
    <t>Version 01</t>
  </si>
  <si>
    <t>Date</t>
  </si>
  <si>
    <t>SPV Name:</t>
  </si>
  <si>
    <t>Net Export by AP-350</t>
  </si>
  <si>
    <t>Net Export by AP-250</t>
  </si>
  <si>
    <t>Net Export by 300 MW Phalodi</t>
  </si>
  <si>
    <t>Net Export by 200 MW Pavagadaa</t>
  </si>
  <si>
    <t>Solar Energy Project(s) by SB Energy Private Limited</t>
  </si>
  <si>
    <t>Start Date of Monitoring Period</t>
  </si>
  <si>
    <t>End Date of Monitoring Period</t>
  </si>
  <si>
    <t>No. of Days in Monitoring Period (Including both days)</t>
  </si>
  <si>
    <t>Estimated ER per year as per Registerd PD (tCO2)</t>
  </si>
  <si>
    <t>Estimated ER for the Monitoring Period (tCO2)</t>
  </si>
  <si>
    <t>Actual ER during the Monitoring period (tCO2)</t>
  </si>
  <si>
    <t>Difference of Estimated and Actual Emissions</t>
  </si>
  <si>
    <t>Registered Capacity</t>
  </si>
  <si>
    <t>Commissioned Capacity</t>
  </si>
  <si>
    <t>Adani Solar Energy AP Six Private Limited (earlier known as SBG Cleantech Project Co. Pvt Ltd)</t>
  </si>
  <si>
    <t>Adani Solar Energy AP Seven Private Limited (earlier known as SB Energy Solar Private Limited)</t>
  </si>
  <si>
    <t>Adani Solar Energy RJ One Private Limited (earlier known as SB Energy Six Private Limited)</t>
  </si>
  <si>
    <t>Adani Solar Energy KA Nine Private Limited (earlier known as SBG Cleantech Project Co Five Private Limited)</t>
  </si>
  <si>
    <t>Pooling Substation - 4</t>
  </si>
  <si>
    <t>Net Electricity (MWH) Invoice</t>
  </si>
  <si>
    <t>Net Export (MWh) JMR</t>
  </si>
  <si>
    <t>Net Export (MWh) Invoice</t>
  </si>
  <si>
    <t>Generation (MWh) in 2023</t>
  </si>
  <si>
    <t>Block 23 (MWh)</t>
  </si>
  <si>
    <t>Block 24 (MWh)</t>
  </si>
  <si>
    <t>Block 25 (MWh)</t>
  </si>
  <si>
    <t>Net Generation</t>
  </si>
  <si>
    <t xml:space="preserve">Net Export (MWh) - NBPDCL </t>
  </si>
  <si>
    <t>Block 26 (MWh)</t>
  </si>
  <si>
    <t>Net Export (MWh) Invoive</t>
  </si>
  <si>
    <t>From 01-Feb-2023 to 31/08/2023 (Both days inclusive)</t>
  </si>
  <si>
    <t>2023
(01/02/2023 - 31/08/2023)</t>
  </si>
  <si>
    <t>2023 (01/02/2023 - 31/08/2023)</t>
  </si>
  <si>
    <t>Net Electricity Gen. (MWh)</t>
  </si>
  <si>
    <t>Pooling Substation -3</t>
  </si>
  <si>
    <t>Net Export (MWh) -SBPDCL</t>
  </si>
  <si>
    <t>As per registered capacity 2250 MW</t>
  </si>
  <si>
    <t>Actual Capacity</t>
  </si>
  <si>
    <t>Estimated Gen / yr as per Installed capacity</t>
  </si>
  <si>
    <t>Estimated Gen / yr as per Reg. PD</t>
  </si>
  <si>
    <t>Estimated ER per year as per Installed capacity (tCO2)</t>
  </si>
  <si>
    <t>As per actual Installed Capacity 1100 MW</t>
  </si>
  <si>
    <t xml:space="preserve">Feeder 203 </t>
  </si>
  <si>
    <t>Feeder 204</t>
  </si>
  <si>
    <t>Estimated ER for MP as per Installed capacity (tCO2)</t>
  </si>
  <si>
    <t>Actual Generation (MWh) in 2023</t>
  </si>
  <si>
    <t xml:space="preserve">Estimated PLF as per registered PDD (in %) </t>
  </si>
  <si>
    <t xml:space="preserve">Actual PLF (In %) </t>
  </si>
  <si>
    <t>Annual generation (MWh) as per PDD</t>
  </si>
  <si>
    <t>% Difference in PLF</t>
  </si>
  <si>
    <t xml:space="preserve">PLF Calculation of all 4 sites </t>
  </si>
  <si>
    <t xml:space="preserve">Site Name </t>
  </si>
  <si>
    <t xml:space="preserve">250 MW Anathapur, Andhra Pradesh </t>
  </si>
  <si>
    <t xml:space="preserve">300 MW Phalodi, Rajasthan </t>
  </si>
  <si>
    <t xml:space="preserve">350 MW Kurnool, Andhra Pradesh </t>
  </si>
  <si>
    <t>200 MW Pavagadaa, karnataka</t>
  </si>
  <si>
    <t>PLF as per registered PDD (%)</t>
  </si>
  <si>
    <t>Actual PLF (%)</t>
  </si>
  <si>
    <t>Sensitivity Analysis</t>
  </si>
  <si>
    <t xml:space="preserve">Breaching value </t>
  </si>
  <si>
    <t xml:space="preserve">PLF as per DPR </t>
  </si>
  <si>
    <t xml:space="preserve">PLF at Breaching Value </t>
  </si>
  <si>
    <t xml:space="preserve">Achived PLF </t>
  </si>
  <si>
    <t xml:space="preserve">The estimated PLF as per PDD and the actual PLF achieved during monitoring period is mentioned above. The increase in the PLF is mentioned above which is under the breaching value of Sensitivity as per the registered PDD. </t>
  </si>
  <si>
    <t>The actual PLF for the generated energy in this monitoring period is 27.93% whereas as per the PDMR, the breaching value of PLF would be 31.07% which is still higher than actual PLF hence project is additional. Above result clearly shows that it is not breaching the benchmark.</t>
  </si>
  <si>
    <t>The actual PLF for the generated energy in this monitoring period is 27.37% whereas as per the PDMR, the breaching value of PLF would be 28.30% which is still higher than actual PLF hence project is additional. Above result clearly shows that it is not breaching the benchmark.</t>
  </si>
  <si>
    <t>The actual PLF for the generated energy in this monitoring period is 26.41% whereas as per the PDMR with breaching value of PLF would be 44.68% which is still higher than actual PLF hence project is additional. Above result clearly shows that it is not breaching the benchmark.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</si>
</sst>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_(* \(#,##0.00\);_(* &quot;-&quot;??_);_(@_)"/>
    <numFmt numFmtId="164" formatCode="_ * #,##0.00_ ;_ * \-#,##0.00_ ;_ * &quot;-&quot;??_ ;_ @_ "/>
    <numFmt numFmtId="165" formatCode="[$-409]dd\-mmm\-yy;@"/>
    <numFmt numFmtId="166" formatCode="_ * #,##0_ ;_ * \-#,##0_ ;_ * &quot;-&quot;??_ ;_ @_ "/>
    <numFmt numFmtId="167" formatCode="_ * #,##0.0000_ ;_ * \-#,##0.0000_ ;_ * &quot;-&quot;??_ ;_ @_ "/>
    <numFmt numFmtId="168" formatCode="[$-409]d\-mmm\-yy;@"/>
    <numFmt numFmtId="169" formatCode="dd\-mmm\-yyyy"/>
    <numFmt numFmtId="170" formatCode="_(* #,##0_);_(* \(#,##0\);_(* &quot;-&quot;??_);_(@_)"/>
    <numFmt numFmtId="171" formatCode="_(* #,##0.000_);_(* \(#,##0.000\);_(* &quot;-&quot;??_);_(@_)"/>
    <numFmt numFmtId="172" formatCode="0.00000"/>
    <numFmt numFmtId="173" formatCode="0.000"/>
    <numFmt numFmtId="174" formatCode="0.0"/>
  </numFmts>
  <fonts count="9" x14ac:knownFonts="1">
    <font>
      <sz val="11"/>
      <color theme="1"/>
      <name val="Calibri"/>
      <family val="2"/>
      <scheme val="minor"/>
    </font>
    <font>
      <sz val="11"/>
      <color theme="1"/>
      <name val="Calibri"/>
      <family val="2"/>
      <scheme val="minor"/>
    </font>
    <font>
      <sz val="10"/>
      <name val="Arial"/>
      <family val="2"/>
    </font>
    <font>
      <sz val="10"/>
      <color theme="1"/>
      <name val="Arial"/>
      <family val="2"/>
    </font>
    <font>
      <b/>
      <sz val="10"/>
      <color theme="1"/>
      <name val="Arial"/>
      <family val="2"/>
    </font>
    <font>
      <sz val="10"/>
      <name val="Arial"/>
      <family val="2"/>
    </font>
    <font>
      <b/>
      <sz val="10"/>
      <color rgb="FF000000"/>
      <name val="Arial"/>
      <family val="2"/>
    </font>
    <font>
      <sz val="10"/>
      <color rgb="FF000000"/>
      <name val="Arial"/>
      <family val="2"/>
    </font>
    <font>
      <sz val="10.5"/>
      <color theme="1"/>
      <name val="Franklin Gothic Book"/>
      <family val="2"/>
    </font>
  </fonts>
  <fills count="1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3" tint="0.79998168889431442"/>
        <bgColor rgb="FFFFFFFF"/>
      </patternFill>
    </fill>
    <fill>
      <patternFill patternType="solid">
        <fgColor theme="0"/>
        <bgColor rgb="FFFBE5D6"/>
      </patternFill>
    </fill>
    <fill>
      <patternFill patternType="solid">
        <fgColor theme="0"/>
        <bgColor rgb="FFFFFFFF"/>
      </patternFill>
    </fill>
    <fill>
      <patternFill patternType="solid">
        <fgColor theme="4" tint="0.59999389629810485"/>
        <bgColor indexed="64"/>
      </patternFill>
    </fill>
    <fill>
      <patternFill patternType="solid">
        <fgColor rgb="FF92D050"/>
        <bgColor indexed="64"/>
      </patternFill>
    </fill>
    <fill>
      <patternFill patternType="solid">
        <fgColor theme="5" tint="0.79998168889431442"/>
        <bgColor indexed="64"/>
      </patternFill>
    </fill>
    <fill>
      <patternFill patternType="solid">
        <fgColor rgb="FFDCE6F1"/>
        <bgColor rgb="FF000000"/>
      </patternFill>
    </fill>
    <fill>
      <patternFill patternType="solid">
        <fgColor theme="9" tint="0.39997558519241921"/>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5" tint="0.59999389629810485"/>
        <bgColor rgb="FF000000"/>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9">
    <xf numFmtId="0" fontId="0" fillId="0" borderId="0"/>
    <xf numFmtId="0" fontId="1" fillId="0" borderId="0"/>
    <xf numFmtId="43" fontId="1" fillId="0" borderId="0" applyFont="0" applyFill="0" applyBorder="0" applyAlignment="0" applyProtection="0"/>
    <xf numFmtId="43" fontId="2" fillId="0" borderId="0" applyFont="0" applyFill="0" applyBorder="0" applyAlignment="0" applyProtection="0"/>
    <xf numFmtId="0" fontId="2" fillId="0" borderId="0"/>
    <xf numFmtId="164" fontId="1" fillId="0" borderId="0" applyFont="0" applyFill="0" applyBorder="0" applyAlignment="0" applyProtection="0"/>
    <xf numFmtId="43" fontId="2" fillId="0" borderId="0" applyFont="0" applyFill="0" applyBorder="0" applyAlignment="0" applyProtection="0"/>
    <xf numFmtId="0" fontId="5" fillId="0" borderId="0"/>
    <xf numFmtId="9" fontId="1" fillId="0" borderId="0" applyFont="0" applyFill="0" applyBorder="0" applyAlignment="0" applyProtection="0"/>
  </cellStyleXfs>
  <cellXfs count="125">
    <xf numFmtId="0" fontId="0" fillId="0" borderId="0" xfId="0"/>
    <xf numFmtId="0" fontId="3" fillId="2" borderId="0" xfId="0" applyFont="1" applyFill="1"/>
    <xf numFmtId="0" fontId="4" fillId="3" borderId="1" xfId="0" applyFont="1" applyFill="1" applyBorder="1" applyAlignment="1">
      <alignment horizontal="center" vertical="top" wrapText="1"/>
    </xf>
    <xf numFmtId="0" fontId="4" fillId="4" borderId="1" xfId="0" applyFont="1" applyFill="1" applyBorder="1" applyAlignment="1">
      <alignment horizontal="center"/>
    </xf>
    <xf numFmtId="167" fontId="3" fillId="0" borderId="1" xfId="2" applyNumberFormat="1" applyFont="1" applyBorder="1" applyAlignment="1">
      <alignment horizontal="center" vertical="center"/>
    </xf>
    <xf numFmtId="2" fontId="3" fillId="2" borderId="1" xfId="0" applyNumberFormat="1" applyFont="1" applyFill="1" applyBorder="1"/>
    <xf numFmtId="0" fontId="4" fillId="3" borderId="1" xfId="0" applyFont="1" applyFill="1" applyBorder="1" applyAlignment="1">
      <alignment horizontal="center" vertical="center" wrapText="1"/>
    </xf>
    <xf numFmtId="17" fontId="3" fillId="0" borderId="1" xfId="0" applyNumberFormat="1" applyFont="1" applyBorder="1" applyAlignment="1">
      <alignment horizontal="center"/>
    </xf>
    <xf numFmtId="43" fontId="3" fillId="2" borderId="1" xfId="2" applyFont="1" applyFill="1" applyBorder="1"/>
    <xf numFmtId="0" fontId="4" fillId="4" borderId="1" xfId="0" applyFont="1" applyFill="1" applyBorder="1" applyAlignment="1">
      <alignment horizontal="center" vertical="center" wrapText="1"/>
    </xf>
    <xf numFmtId="164" fontId="3" fillId="0" borderId="1" xfId="0" applyNumberFormat="1" applyFont="1" applyBorder="1" applyAlignment="1">
      <alignment horizontal="center" vertical="center"/>
    </xf>
    <xf numFmtId="166" fontId="3" fillId="0" borderId="1" xfId="0" applyNumberFormat="1" applyFont="1" applyBorder="1" applyAlignment="1">
      <alignment horizontal="center" vertical="center"/>
    </xf>
    <xf numFmtId="0" fontId="3" fillId="0" borderId="1" xfId="0" applyFont="1" applyBorder="1" applyAlignment="1">
      <alignment horizontal="center"/>
    </xf>
    <xf numFmtId="43" fontId="3" fillId="2" borderId="1" xfId="0" applyNumberFormat="1" applyFont="1" applyFill="1" applyBorder="1"/>
    <xf numFmtId="0" fontId="6" fillId="5" borderId="1" xfId="0" applyFont="1" applyFill="1" applyBorder="1" applyAlignment="1">
      <alignment horizontal="left" vertical="center"/>
    </xf>
    <xf numFmtId="0" fontId="4" fillId="3" borderId="1" xfId="0" applyFont="1" applyFill="1" applyBorder="1" applyAlignment="1">
      <alignment horizontal="center" vertical="center"/>
    </xf>
    <xf numFmtId="43" fontId="3" fillId="2" borderId="1" xfId="2" applyFont="1" applyFill="1" applyBorder="1" applyAlignment="1">
      <alignment horizontal="center"/>
    </xf>
    <xf numFmtId="0" fontId="4" fillId="3" borderId="1" xfId="0" applyFont="1" applyFill="1" applyBorder="1" applyAlignment="1">
      <alignment horizontal="center"/>
    </xf>
    <xf numFmtId="43" fontId="4" fillId="3" borderId="1" xfId="2" applyFont="1" applyFill="1" applyBorder="1" applyAlignment="1">
      <alignment horizontal="center"/>
    </xf>
    <xf numFmtId="0" fontId="4" fillId="3" borderId="1" xfId="0" applyFont="1" applyFill="1" applyBorder="1" applyAlignment="1">
      <alignment horizontal="left" vertical="top" wrapText="1"/>
    </xf>
    <xf numFmtId="17" fontId="3" fillId="0" borderId="1" xfId="0" applyNumberFormat="1" applyFont="1" applyBorder="1" applyAlignment="1">
      <alignment horizontal="center" vertical="center"/>
    </xf>
    <xf numFmtId="165" fontId="3" fillId="2" borderId="1" xfId="0" applyNumberFormat="1" applyFont="1" applyFill="1" applyBorder="1" applyAlignment="1">
      <alignment horizontal="center" vertical="center"/>
    </xf>
    <xf numFmtId="2" fontId="3" fillId="2" borderId="0" xfId="0" applyNumberFormat="1" applyFont="1" applyFill="1" applyAlignment="1">
      <alignment vertical="center"/>
    </xf>
    <xf numFmtId="0" fontId="3" fillId="2" borderId="0" xfId="0" applyFont="1" applyFill="1" applyAlignment="1">
      <alignment vertical="center"/>
    </xf>
    <xf numFmtId="2" fontId="3" fillId="2" borderId="0" xfId="0" applyNumberFormat="1" applyFont="1" applyFill="1"/>
    <xf numFmtId="0" fontId="6" fillId="5" borderId="1" xfId="0" applyFont="1" applyFill="1" applyBorder="1" applyAlignment="1">
      <alignment horizontal="center" vertical="center" wrapText="1"/>
    </xf>
    <xf numFmtId="14" fontId="7" fillId="7" borderId="1" xfId="0" applyNumberFormat="1" applyFont="1" applyFill="1" applyBorder="1" applyAlignment="1">
      <alignment horizontal="center" vertical="center" wrapText="1"/>
    </xf>
    <xf numFmtId="164" fontId="4" fillId="4" borderId="1" xfId="0" applyNumberFormat="1" applyFont="1" applyFill="1" applyBorder="1" applyAlignment="1">
      <alignment vertical="center"/>
    </xf>
    <xf numFmtId="43" fontId="6" fillId="5" borderId="1" xfId="2" applyFont="1" applyFill="1" applyBorder="1" applyAlignment="1">
      <alignment horizontal="center" vertical="center" wrapText="1"/>
    </xf>
    <xf numFmtId="0" fontId="3" fillId="2" borderId="1" xfId="0" applyFont="1" applyFill="1" applyBorder="1" applyAlignment="1">
      <alignment vertical="center"/>
    </xf>
    <xf numFmtId="43" fontId="3" fillId="2" borderId="1" xfId="2" applyFont="1" applyFill="1" applyBorder="1" applyAlignment="1">
      <alignment vertical="center"/>
    </xf>
    <xf numFmtId="0" fontId="4" fillId="8" borderId="1" xfId="0" applyFont="1" applyFill="1" applyBorder="1" applyAlignment="1">
      <alignment vertical="center" wrapText="1"/>
    </xf>
    <xf numFmtId="0" fontId="3" fillId="0" borderId="1" xfId="0" applyFont="1" applyBorder="1" applyAlignment="1">
      <alignment horizontal="center" vertical="center"/>
    </xf>
    <xf numFmtId="169" fontId="3" fillId="0" borderId="1" xfId="0" applyNumberFormat="1" applyFont="1" applyBorder="1" applyAlignment="1">
      <alignment horizontal="center" vertical="center"/>
    </xf>
    <xf numFmtId="0" fontId="4" fillId="8" borderId="1" xfId="0" applyFont="1" applyFill="1" applyBorder="1" applyAlignment="1">
      <alignment horizontal="center" vertical="center" wrapText="1"/>
    </xf>
    <xf numFmtId="0" fontId="3" fillId="2" borderId="1" xfId="0" applyFont="1" applyFill="1" applyBorder="1" applyAlignment="1">
      <alignment horizontal="center" vertical="center"/>
    </xf>
    <xf numFmtId="4" fontId="3" fillId="2" borderId="0" xfId="0" applyNumberFormat="1" applyFont="1" applyFill="1"/>
    <xf numFmtId="0" fontId="4" fillId="2" borderId="0" xfId="0" applyFont="1" applyFill="1"/>
    <xf numFmtId="3" fontId="3" fillId="0" borderId="1" xfId="0" applyNumberFormat="1" applyFont="1" applyBorder="1" applyAlignment="1">
      <alignment horizontal="center" vertical="center" wrapText="1"/>
    </xf>
    <xf numFmtId="17" fontId="3" fillId="9" borderId="1" xfId="0" applyNumberFormat="1" applyFont="1" applyFill="1" applyBorder="1" applyAlignment="1">
      <alignment horizontal="center" vertical="center"/>
    </xf>
    <xf numFmtId="0" fontId="4" fillId="3" borderId="1" xfId="0" applyFont="1" applyFill="1" applyBorder="1" applyAlignment="1">
      <alignment vertical="top" wrapText="1"/>
    </xf>
    <xf numFmtId="166" fontId="4" fillId="4" borderId="1" xfId="0" applyNumberFormat="1" applyFont="1" applyFill="1" applyBorder="1" applyAlignment="1">
      <alignment vertical="center"/>
    </xf>
    <xf numFmtId="0" fontId="7" fillId="6" borderId="0" xfId="0" applyFont="1" applyFill="1" applyAlignment="1">
      <alignment horizontal="left" vertical="center"/>
    </xf>
    <xf numFmtId="165" fontId="3" fillId="2" borderId="0" xfId="0" applyNumberFormat="1" applyFont="1" applyFill="1" applyAlignment="1">
      <alignment horizontal="center" vertical="center"/>
    </xf>
    <xf numFmtId="2" fontId="3" fillId="10" borderId="1" xfId="0" applyNumberFormat="1" applyFont="1" applyFill="1" applyBorder="1" applyAlignment="1">
      <alignment horizontal="center"/>
    </xf>
    <xf numFmtId="0" fontId="3" fillId="2" borderId="1" xfId="0" applyFont="1" applyFill="1" applyBorder="1"/>
    <xf numFmtId="173" fontId="3" fillId="2" borderId="1" xfId="0" applyNumberFormat="1" applyFont="1" applyFill="1" applyBorder="1"/>
    <xf numFmtId="171" fontId="3" fillId="2" borderId="1" xfId="2" applyNumberFormat="1" applyFont="1" applyFill="1" applyBorder="1" applyAlignment="1">
      <alignment horizontal="center"/>
    </xf>
    <xf numFmtId="0" fontId="4" fillId="4" borderId="1" xfId="0" applyFont="1" applyFill="1" applyBorder="1"/>
    <xf numFmtId="0" fontId="4" fillId="10" borderId="1" xfId="0" applyFont="1" applyFill="1" applyBorder="1" applyAlignment="1">
      <alignment horizontal="center" vertical="center" wrapText="1"/>
    </xf>
    <xf numFmtId="2" fontId="3" fillId="10" borderId="1" xfId="0" applyNumberFormat="1" applyFont="1" applyFill="1" applyBorder="1" applyAlignment="1">
      <alignment horizontal="center" vertical="center"/>
    </xf>
    <xf numFmtId="4" fontId="3" fillId="10" borderId="1" xfId="0" applyNumberFormat="1" applyFont="1" applyFill="1" applyBorder="1" applyAlignment="1">
      <alignment horizontal="center"/>
    </xf>
    <xf numFmtId="0" fontId="3" fillId="10" borderId="1" xfId="0" applyFont="1" applyFill="1" applyBorder="1" applyAlignment="1">
      <alignment horizontal="center"/>
    </xf>
    <xf numFmtId="0" fontId="3" fillId="10" borderId="1" xfId="0" applyFont="1" applyFill="1" applyBorder="1" applyAlignment="1">
      <alignment horizontal="center" vertical="center" wrapText="1"/>
    </xf>
    <xf numFmtId="2" fontId="4" fillId="10" borderId="1" xfId="0" applyNumberFormat="1" applyFont="1" applyFill="1" applyBorder="1" applyAlignment="1">
      <alignment horizontal="center" vertical="center" wrapText="1"/>
    </xf>
    <xf numFmtId="4" fontId="3" fillId="10" borderId="1" xfId="0" applyNumberFormat="1" applyFont="1" applyFill="1" applyBorder="1" applyAlignment="1">
      <alignment horizontal="center" vertical="center"/>
    </xf>
    <xf numFmtId="2" fontId="3" fillId="3" borderId="1" xfId="0" applyNumberFormat="1" applyFont="1" applyFill="1" applyBorder="1" applyAlignment="1">
      <alignment horizontal="center" vertical="center" wrapText="1"/>
    </xf>
    <xf numFmtId="2" fontId="3" fillId="3" borderId="1" xfId="0" applyNumberFormat="1" applyFont="1" applyFill="1" applyBorder="1" applyAlignment="1">
      <alignment horizontal="center" vertical="center"/>
    </xf>
    <xf numFmtId="0" fontId="3" fillId="3" borderId="1" xfId="0" applyFont="1" applyFill="1" applyBorder="1" applyAlignment="1">
      <alignment horizontal="center" vertical="center" wrapText="1"/>
    </xf>
    <xf numFmtId="2" fontId="4" fillId="3" borderId="1" xfId="0" applyNumberFormat="1" applyFont="1" applyFill="1" applyBorder="1" applyAlignment="1">
      <alignment horizontal="center" vertical="center" wrapText="1"/>
    </xf>
    <xf numFmtId="4" fontId="3" fillId="3" borderId="1" xfId="0" applyNumberFormat="1" applyFont="1" applyFill="1" applyBorder="1" applyAlignment="1">
      <alignment horizontal="center" vertical="center"/>
    </xf>
    <xf numFmtId="172" fontId="3" fillId="2" borderId="1" xfId="0" applyNumberFormat="1" applyFont="1" applyFill="1" applyBorder="1" applyAlignment="1">
      <alignment horizontal="center" vertical="center"/>
    </xf>
    <xf numFmtId="173" fontId="3" fillId="2" borderId="1" xfId="0" applyNumberFormat="1" applyFont="1" applyFill="1" applyBorder="1" applyAlignment="1">
      <alignment horizontal="center" vertical="center"/>
    </xf>
    <xf numFmtId="0" fontId="4" fillId="4" borderId="1" xfId="0" applyFont="1" applyFill="1" applyBorder="1" applyAlignment="1">
      <alignment horizontal="center" vertical="center"/>
    </xf>
    <xf numFmtId="0" fontId="4" fillId="8" borderId="1" xfId="0" applyFont="1" applyFill="1" applyBorder="1" applyAlignment="1">
      <alignment horizontal="center" vertical="center"/>
    </xf>
    <xf numFmtId="43" fontId="3" fillId="0" borderId="1" xfId="2" applyFont="1" applyFill="1" applyBorder="1" applyAlignment="1">
      <alignment horizontal="center" vertical="center" wrapText="1"/>
    </xf>
    <xf numFmtId="43" fontId="4" fillId="4" borderId="1" xfId="2" applyFont="1" applyFill="1" applyBorder="1" applyAlignment="1">
      <alignment horizontal="center" vertical="center"/>
    </xf>
    <xf numFmtId="164" fontId="4" fillId="4" borderId="1" xfId="0" applyNumberFormat="1" applyFont="1" applyFill="1" applyBorder="1" applyAlignment="1">
      <alignment horizontal="center" vertical="center"/>
    </xf>
    <xf numFmtId="0" fontId="3" fillId="2" borderId="0" xfId="0" applyFont="1" applyFill="1" applyAlignment="1">
      <alignment horizontal="center" vertical="center"/>
    </xf>
    <xf numFmtId="170" fontId="3" fillId="2" borderId="1" xfId="2" applyNumberFormat="1" applyFont="1" applyFill="1" applyBorder="1" applyAlignment="1">
      <alignment horizontal="center" vertical="center" wrapText="1"/>
    </xf>
    <xf numFmtId="10" fontId="3" fillId="2" borderId="1" xfId="8" applyNumberFormat="1" applyFont="1" applyFill="1" applyBorder="1" applyAlignment="1">
      <alignment horizontal="center" vertical="center" wrapText="1"/>
    </xf>
    <xf numFmtId="164" fontId="3" fillId="2" borderId="0" xfId="0" applyNumberFormat="1" applyFont="1" applyFill="1"/>
    <xf numFmtId="9" fontId="3" fillId="2" borderId="0" xfId="0" applyNumberFormat="1" applyFont="1" applyFill="1"/>
    <xf numFmtId="164" fontId="3" fillId="2" borderId="1" xfId="0" applyNumberFormat="1" applyFont="1" applyFill="1" applyBorder="1"/>
    <xf numFmtId="0" fontId="4" fillId="3" borderId="1" xfId="0" applyFont="1" applyFill="1" applyBorder="1"/>
    <xf numFmtId="3" fontId="3" fillId="2" borderId="1" xfId="0" applyNumberFormat="1" applyFont="1" applyFill="1" applyBorder="1"/>
    <xf numFmtId="43" fontId="4" fillId="2" borderId="1" xfId="2" applyFont="1" applyFill="1" applyBorder="1" applyAlignment="1">
      <alignment horizontal="center"/>
    </xf>
    <xf numFmtId="0" fontId="4" fillId="3" borderId="1" xfId="0" applyFont="1" applyFill="1" applyBorder="1" applyAlignment="1">
      <alignment wrapText="1"/>
    </xf>
    <xf numFmtId="43" fontId="4" fillId="2" borderId="1" xfId="2" applyFont="1" applyFill="1" applyBorder="1" applyAlignment="1">
      <alignment horizontal="right" vertical="center"/>
    </xf>
    <xf numFmtId="0" fontId="6" fillId="11" borderId="1" xfId="0" applyFont="1" applyFill="1" applyBorder="1" applyAlignment="1">
      <alignment wrapText="1"/>
    </xf>
    <xf numFmtId="0" fontId="6" fillId="11" borderId="1" xfId="0" applyFont="1" applyFill="1" applyBorder="1"/>
    <xf numFmtId="0" fontId="4" fillId="13" borderId="1" xfId="0" applyFont="1" applyFill="1" applyBorder="1"/>
    <xf numFmtId="0" fontId="4" fillId="13" borderId="1" xfId="0" applyFont="1" applyFill="1" applyBorder="1" applyAlignment="1">
      <alignment wrapText="1"/>
    </xf>
    <xf numFmtId="0" fontId="6" fillId="15" borderId="1" xfId="0" applyFont="1" applyFill="1" applyBorder="1"/>
    <xf numFmtId="164" fontId="3" fillId="14" borderId="1" xfId="0" applyNumberFormat="1" applyFont="1" applyFill="1" applyBorder="1"/>
    <xf numFmtId="10" fontId="3" fillId="14" borderId="1" xfId="0" applyNumberFormat="1" applyFont="1" applyFill="1" applyBorder="1"/>
    <xf numFmtId="9" fontId="3" fillId="14" borderId="1" xfId="0" applyNumberFormat="1" applyFont="1" applyFill="1" applyBorder="1"/>
    <xf numFmtId="0" fontId="4" fillId="14" borderId="1" xfId="0" applyFont="1" applyFill="1" applyBorder="1"/>
    <xf numFmtId="0" fontId="3" fillId="12" borderId="1" xfId="0" applyFont="1" applyFill="1" applyBorder="1" applyAlignment="1">
      <alignment horizontal="center" wrapText="1"/>
    </xf>
    <xf numFmtId="0" fontId="4" fillId="13" borderId="3" xfId="0" applyFont="1" applyFill="1" applyBorder="1" applyAlignment="1">
      <alignment horizontal="center" wrapText="1"/>
    </xf>
    <xf numFmtId="0" fontId="4" fillId="13" borderId="4" xfId="0" applyFont="1" applyFill="1" applyBorder="1" applyAlignment="1">
      <alignment horizontal="center" wrapText="1"/>
    </xf>
    <xf numFmtId="0" fontId="4" fillId="13" borderId="2" xfId="0" applyFont="1" applyFill="1" applyBorder="1" applyAlignment="1">
      <alignment horizontal="center" wrapText="1"/>
    </xf>
    <xf numFmtId="0" fontId="7" fillId="6" borderId="1" xfId="0" applyFont="1" applyFill="1" applyBorder="1" applyAlignment="1">
      <alignment horizontal="left" vertical="center"/>
    </xf>
    <xf numFmtId="168" fontId="7" fillId="6" borderId="1" xfId="0" applyNumberFormat="1" applyFont="1" applyFill="1" applyBorder="1" applyAlignment="1">
      <alignment horizontal="left" vertical="center"/>
    </xf>
    <xf numFmtId="14" fontId="3" fillId="2" borderId="3" xfId="0" applyNumberFormat="1" applyFont="1" applyFill="1" applyBorder="1" applyAlignment="1">
      <alignment horizontal="left"/>
    </xf>
    <xf numFmtId="0" fontId="3" fillId="2" borderId="4" xfId="0" applyFont="1" applyFill="1" applyBorder="1" applyAlignment="1">
      <alignment horizontal="left"/>
    </xf>
    <xf numFmtId="0" fontId="3" fillId="2" borderId="2" xfId="0" applyFont="1" applyFill="1" applyBorder="1" applyAlignment="1">
      <alignment horizontal="left"/>
    </xf>
    <xf numFmtId="0" fontId="4" fillId="3" borderId="1"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4" fillId="10" borderId="1" xfId="0" applyFont="1" applyFill="1" applyBorder="1" applyAlignment="1">
      <alignment horizontal="center" wrapText="1"/>
    </xf>
    <xf numFmtId="0" fontId="4" fillId="10" borderId="5" xfId="0" applyFont="1" applyFill="1" applyBorder="1" applyAlignment="1">
      <alignment horizontal="center" vertical="center" wrapText="1"/>
    </xf>
    <xf numFmtId="0" fontId="4" fillId="10" borderId="6"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7" fillId="6"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3" borderId="1" xfId="0" applyFont="1" applyFill="1" applyBorder="1" applyAlignment="1">
      <alignment horizontal="center" wrapText="1"/>
    </xf>
    <xf numFmtId="0" fontId="4" fillId="3" borderId="1" xfId="0" applyFont="1" applyFill="1" applyBorder="1" applyAlignment="1">
      <alignment horizontal="center" vertical="center"/>
    </xf>
    <xf numFmtId="0" fontId="4" fillId="10" borderId="3" xfId="0" applyFont="1" applyFill="1" applyBorder="1" applyAlignment="1">
      <alignment horizontal="center" vertical="center" wrapText="1"/>
    </xf>
    <xf numFmtId="0" fontId="4" fillId="10" borderId="4" xfId="0" applyFont="1" applyFill="1" applyBorder="1" applyAlignment="1">
      <alignment horizontal="center" vertical="center" wrapText="1"/>
    </xf>
    <xf numFmtId="0" fontId="4" fillId="10" borderId="2" xfId="0" applyFont="1" applyFill="1" applyBorder="1" applyAlignment="1">
      <alignment horizontal="center" vertical="center" wrapText="1"/>
    </xf>
    <xf numFmtId="0" fontId="4" fillId="14" borderId="1" xfId="0" applyFont="1" applyFill="1" applyBorder="1" applyAlignment="1">
      <alignment horizontal="center"/>
    </xf>
    <xf numFmtId="0" fontId="8" fillId="14" borderId="1" xfId="0" applyFont="1" applyFill="1" applyBorder="1" applyAlignment="1">
      <alignment horizontal="center" wrapText="1"/>
    </xf>
    <xf numFmtId="0" fontId="4" fillId="3" borderId="1" xfId="0" applyFont="1" applyFill="1" applyBorder="1" applyAlignment="1">
      <alignment horizontal="center"/>
    </xf>
    <xf numFmtId="174" fontId="7" fillId="6" borderId="1" xfId="0" applyNumberFormat="1" applyFont="1" applyFill="1" applyBorder="1" applyAlignment="1">
      <alignment horizontal="left" vertical="center"/>
    </xf>
    <xf numFmtId="14" fontId="3" fillId="2" borderId="4" xfId="0" applyNumberFormat="1" applyFont="1" applyFill="1" applyBorder="1" applyAlignment="1">
      <alignment horizontal="left"/>
    </xf>
    <xf numFmtId="0" fontId="4" fillId="14" borderId="3" xfId="0" applyFont="1" applyFill="1" applyBorder="1" applyAlignment="1">
      <alignment horizontal="center"/>
    </xf>
    <xf numFmtId="0" fontId="4" fillId="14" borderId="2" xfId="0" applyFont="1" applyFill="1" applyBorder="1" applyAlignment="1">
      <alignment horizontal="center"/>
    </xf>
    <xf numFmtId="14" fontId="3" fillId="2" borderId="2" xfId="0" applyNumberFormat="1" applyFont="1" applyFill="1" applyBorder="1" applyAlignment="1">
      <alignment horizontal="left"/>
    </xf>
    <xf numFmtId="43" fontId="3" fillId="0" borderId="1" xfId="2" applyFont="1" applyFill="1" applyBorder="1" applyAlignment="1">
      <alignment horizontal="center"/>
    </xf>
    <xf numFmtId="171" fontId="3" fillId="0" borderId="1" xfId="2" applyNumberFormat="1" applyFont="1" applyFill="1" applyBorder="1" applyAlignment="1">
      <alignment horizontal="center"/>
    </xf>
    <xf numFmtId="0" fontId="3" fillId="0" borderId="1" xfId="0" applyFont="1" applyFill="1" applyBorder="1"/>
    <xf numFmtId="173" fontId="3" fillId="0" borderId="1" xfId="0" applyNumberFormat="1" applyFont="1" applyFill="1" applyBorder="1"/>
    <xf numFmtId="3" fontId="3" fillId="0" borderId="1" xfId="0" applyNumberFormat="1" applyFont="1" applyFill="1" applyBorder="1" applyAlignment="1">
      <alignment horizontal="center" vertical="center" wrapText="1"/>
    </xf>
    <xf numFmtId="10" fontId="3" fillId="0" borderId="1" xfId="8" applyNumberFormat="1" applyFont="1" applyFill="1" applyBorder="1" applyAlignment="1">
      <alignment horizontal="center" vertical="center" wrapText="1"/>
    </xf>
  </cellXfs>
  <cellStyles count="9">
    <cellStyle name="Comma" xfId="2" builtinId="3"/>
    <cellStyle name="Comma 2" xfId="6" xr:uid="{1A80458F-24DC-4C41-915C-8DF3234FB989}"/>
    <cellStyle name="Comma 2 2" xfId="3" xr:uid="{0B61D245-D71D-4A8E-B0D5-67D20BCF5161}"/>
    <cellStyle name="Comma 3" xfId="5" xr:uid="{F8E1292C-76CC-47FB-8594-4870D6A64BDC}"/>
    <cellStyle name="Normal" xfId="0" builtinId="0"/>
    <cellStyle name="Normal 17" xfId="1" xr:uid="{00000000-0005-0000-0000-000001000000}"/>
    <cellStyle name="Normal 2" xfId="4" xr:uid="{63764916-09FA-45F0-85BE-4032C45D85D0}"/>
    <cellStyle name="Normal 3" xfId="7" xr:uid="{135311E8-635A-40BA-8A0D-A2A66A1352EF}"/>
    <cellStyle name="Per cent" xfId="8" builtinId="5"/>
  </cellStyles>
  <dxfs count="0"/>
  <tableStyles count="0" defaultTableStyle="TableStyleMedium2" defaultPivotStyle="PivotStyleMedium9"/>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DD56A-2AD3-490C-9C33-8A751642302C}">
  <dimension ref="B1:K48"/>
  <sheetViews>
    <sheetView tabSelected="1" topLeftCell="A16" zoomScale="115" zoomScaleNormal="82" workbookViewId="0">
      <selection activeCell="F37" sqref="F37"/>
    </sheetView>
  </sheetViews>
  <sheetFormatPr baseColWidth="10" defaultColWidth="9.1640625" defaultRowHeight="13" x14ac:dyDescent="0.15"/>
  <cols>
    <col min="1" max="1" width="2.33203125" style="1" customWidth="1"/>
    <col min="2" max="2" width="30.83203125" style="1" bestFit="1" customWidth="1"/>
    <col min="3" max="3" width="28.5" style="1" customWidth="1"/>
    <col min="4" max="4" width="24.6640625" style="1" customWidth="1"/>
    <col min="5" max="5" width="16.5" style="1" customWidth="1"/>
    <col min="6" max="6" width="15" style="1" customWidth="1"/>
    <col min="7" max="7" width="13.6640625" style="1" customWidth="1"/>
    <col min="8" max="8" width="17.6640625" style="1" customWidth="1"/>
    <col min="9" max="9" width="15.33203125" style="1" customWidth="1"/>
    <col min="10" max="10" width="12.83203125" style="1" bestFit="1" customWidth="1"/>
    <col min="11" max="11" width="15.6640625" style="1" customWidth="1"/>
    <col min="12" max="12" width="24.83203125" style="1" customWidth="1"/>
    <col min="13" max="16384" width="9.1640625" style="1"/>
  </cols>
  <sheetData>
    <row r="1" spans="2:8" ht="20" customHeight="1" x14ac:dyDescent="0.15">
      <c r="B1" s="14" t="s">
        <v>11</v>
      </c>
      <c r="C1" s="92">
        <v>1805</v>
      </c>
      <c r="D1" s="92"/>
      <c r="E1" s="92"/>
      <c r="F1" s="92"/>
      <c r="G1" s="92"/>
      <c r="H1" s="92"/>
    </row>
    <row r="2" spans="2:8" ht="20" customHeight="1" x14ac:dyDescent="0.15">
      <c r="B2" s="14" t="s">
        <v>10</v>
      </c>
      <c r="C2" s="92" t="s">
        <v>34</v>
      </c>
      <c r="D2" s="92"/>
      <c r="E2" s="92"/>
      <c r="F2" s="92"/>
      <c r="G2" s="92"/>
      <c r="H2" s="92"/>
    </row>
    <row r="3" spans="2:8" ht="20" customHeight="1" x14ac:dyDescent="0.15">
      <c r="B3" s="14" t="s">
        <v>26</v>
      </c>
      <c r="C3" s="93" t="s">
        <v>60</v>
      </c>
      <c r="D3" s="93"/>
      <c r="E3" s="93"/>
      <c r="F3" s="93"/>
      <c r="G3" s="93"/>
      <c r="H3" s="93"/>
    </row>
    <row r="4" spans="2:8" ht="20" customHeight="1" x14ac:dyDescent="0.15">
      <c r="B4" s="14" t="s">
        <v>27</v>
      </c>
      <c r="C4" s="92">
        <v>3</v>
      </c>
      <c r="D4" s="92"/>
      <c r="E4" s="92"/>
      <c r="F4" s="92"/>
      <c r="G4" s="92"/>
      <c r="H4" s="92"/>
    </row>
    <row r="5" spans="2:8" ht="20" customHeight="1" x14ac:dyDescent="0.15">
      <c r="B5" s="14" t="s">
        <v>28</v>
      </c>
      <c r="C5" s="94">
        <v>45348</v>
      </c>
      <c r="D5" s="95"/>
      <c r="E5" s="95"/>
      <c r="F5" s="95"/>
      <c r="G5" s="95"/>
      <c r="H5" s="96"/>
    </row>
    <row r="8" spans="2:8" ht="28" x14ac:dyDescent="0.15">
      <c r="B8" s="25" t="s">
        <v>14</v>
      </c>
      <c r="C8" s="25"/>
      <c r="D8" s="25" t="s">
        <v>61</v>
      </c>
      <c r="E8" s="25" t="s">
        <v>5</v>
      </c>
    </row>
    <row r="9" spans="2:8" ht="20" customHeight="1" x14ac:dyDescent="0.15">
      <c r="B9" s="29" t="s">
        <v>30</v>
      </c>
      <c r="C9" s="30"/>
      <c r="D9" s="30">
        <f>'350 MW AP'!C25</f>
        <v>420818.58299999998</v>
      </c>
      <c r="E9" s="30">
        <f>C9+D9</f>
        <v>420818.58299999998</v>
      </c>
    </row>
    <row r="10" spans="2:8" ht="20" customHeight="1" x14ac:dyDescent="0.15">
      <c r="B10" s="29" t="s">
        <v>31</v>
      </c>
      <c r="C10" s="30"/>
      <c r="D10" s="30">
        <f>'250 MW AP'!C20</f>
        <v>362883.86550000001</v>
      </c>
      <c r="E10" s="30">
        <f t="shared" ref="E10:E12" si="0">C10+D10</f>
        <v>362883.86550000001</v>
      </c>
    </row>
    <row r="11" spans="2:8" ht="20" customHeight="1" x14ac:dyDescent="0.15">
      <c r="B11" s="29" t="s">
        <v>32</v>
      </c>
      <c r="C11" s="30"/>
      <c r="D11" s="30">
        <f>'300 MW Phalodi '!C20</f>
        <v>403086.79599999997</v>
      </c>
      <c r="E11" s="30">
        <f t="shared" si="0"/>
        <v>403086.79599999997</v>
      </c>
    </row>
    <row r="12" spans="2:8" ht="20" customHeight="1" x14ac:dyDescent="0.15">
      <c r="B12" s="29" t="s">
        <v>33</v>
      </c>
      <c r="C12" s="30"/>
      <c r="D12" s="30">
        <f>'200 MW Pavagadaa'!C22</f>
        <v>284202.58499999996</v>
      </c>
      <c r="E12" s="30">
        <f t="shared" si="0"/>
        <v>284202.58499999996</v>
      </c>
    </row>
    <row r="13" spans="2:8" ht="20" customHeight="1" x14ac:dyDescent="0.15">
      <c r="B13" s="25" t="s">
        <v>5</v>
      </c>
      <c r="C13" s="28">
        <f t="shared" ref="C13:D13" si="1">SUM(C9:C12)</f>
        <v>0</v>
      </c>
      <c r="D13" s="28">
        <f t="shared" si="1"/>
        <v>1470991.8295</v>
      </c>
      <c r="E13" s="28">
        <f>SUM(E9:E12)</f>
        <v>1470991.8295</v>
      </c>
    </row>
    <row r="16" spans="2:8" ht="42" x14ac:dyDescent="0.15">
      <c r="B16" s="9" t="s">
        <v>19</v>
      </c>
      <c r="C16" s="9" t="s">
        <v>20</v>
      </c>
      <c r="D16" s="9" t="s">
        <v>21</v>
      </c>
      <c r="E16" s="9" t="s">
        <v>22</v>
      </c>
      <c r="F16" s="9" t="s">
        <v>23</v>
      </c>
      <c r="G16" s="9" t="s">
        <v>24</v>
      </c>
      <c r="H16" s="9" t="s">
        <v>25</v>
      </c>
    </row>
    <row r="17" spans="2:11" ht="13.5" customHeight="1" x14ac:dyDescent="0.15">
      <c r="B17" s="26"/>
      <c r="C17" s="10"/>
      <c r="D17" s="4"/>
      <c r="E17" s="11"/>
      <c r="F17" s="12"/>
      <c r="G17" s="12"/>
      <c r="H17" s="11"/>
    </row>
    <row r="18" spans="2:11" ht="20" customHeight="1" x14ac:dyDescent="0.15">
      <c r="B18" s="26" t="s">
        <v>62</v>
      </c>
      <c r="C18" s="10">
        <f>D13</f>
        <v>1470991.8295</v>
      </c>
      <c r="D18" s="4">
        <v>0.94750000000000001</v>
      </c>
      <c r="E18" s="11">
        <f>ROUNDDOWN(C18*D18,0)</f>
        <v>1393764</v>
      </c>
      <c r="F18" s="32">
        <v>0</v>
      </c>
      <c r="G18" s="32">
        <v>0</v>
      </c>
      <c r="H18" s="11">
        <f>E18-F18-G18</f>
        <v>1393764</v>
      </c>
    </row>
    <row r="19" spans="2:11" s="23" customFormat="1" ht="20" customHeight="1" x14ac:dyDescent="0.15">
      <c r="B19" s="27"/>
      <c r="C19" s="27">
        <f>C18</f>
        <v>1470991.8295</v>
      </c>
      <c r="D19" s="27"/>
      <c r="E19" s="27">
        <f>E18</f>
        <v>1393764</v>
      </c>
      <c r="F19" s="67">
        <v>0</v>
      </c>
      <c r="G19" s="27">
        <v>0</v>
      </c>
      <c r="H19" s="41">
        <f>H18</f>
        <v>1393764</v>
      </c>
      <c r="K19" s="1"/>
    </row>
    <row r="22" spans="2:11" x14ac:dyDescent="0.15">
      <c r="C22" s="1" t="s">
        <v>66</v>
      </c>
    </row>
    <row r="24" spans="2:11" ht="51" customHeight="1" x14ac:dyDescent="0.15">
      <c r="B24" s="31" t="s">
        <v>35</v>
      </c>
      <c r="C24" s="34" t="s">
        <v>36</v>
      </c>
      <c r="D24" s="34" t="s">
        <v>37</v>
      </c>
      <c r="E24" s="34" t="s">
        <v>42</v>
      </c>
      <c r="F24" s="34" t="s">
        <v>43</v>
      </c>
      <c r="G24" s="34" t="s">
        <v>38</v>
      </c>
      <c r="H24" s="34" t="s">
        <v>39</v>
      </c>
      <c r="I24" s="34" t="s">
        <v>40</v>
      </c>
      <c r="J24" s="34" t="s">
        <v>41</v>
      </c>
    </row>
    <row r="25" spans="2:11" ht="28.5" customHeight="1" x14ac:dyDescent="0.15">
      <c r="B25" s="33">
        <v>44958</v>
      </c>
      <c r="C25" s="33">
        <v>45169</v>
      </c>
      <c r="D25" s="32">
        <f>C25-B25+1</f>
        <v>212</v>
      </c>
      <c r="E25" s="35">
        <v>2250</v>
      </c>
      <c r="F25" s="35">
        <f>350+250+300+200</f>
        <v>1100</v>
      </c>
      <c r="G25" s="38">
        <v>4354646</v>
      </c>
      <c r="H25" s="69">
        <f>ROUNDDOWN((G25*D25)/365,0)</f>
        <v>2529273</v>
      </c>
      <c r="I25" s="69">
        <f>H19</f>
        <v>1393764</v>
      </c>
      <c r="J25" s="70">
        <f>I25/H25-1</f>
        <v>-0.44894679222053135</v>
      </c>
    </row>
    <row r="27" spans="2:11" x14ac:dyDescent="0.15">
      <c r="D27" s="68"/>
      <c r="E27" s="68"/>
    </row>
    <row r="28" spans="2:11" x14ac:dyDescent="0.15">
      <c r="C28" s="1" t="s">
        <v>71</v>
      </c>
      <c r="D28" s="68"/>
      <c r="E28" s="68"/>
    </row>
    <row r="29" spans="2:11" x14ac:dyDescent="0.15">
      <c r="D29" s="68"/>
      <c r="E29" s="68"/>
      <c r="F29" s="36"/>
    </row>
    <row r="30" spans="2:11" ht="58.25" customHeight="1" x14ac:dyDescent="0.15">
      <c r="B30" s="34" t="s">
        <v>42</v>
      </c>
      <c r="C30" s="34" t="s">
        <v>67</v>
      </c>
      <c r="D30" s="34" t="s">
        <v>69</v>
      </c>
      <c r="E30" s="34" t="s">
        <v>68</v>
      </c>
      <c r="F30" s="34" t="s">
        <v>38</v>
      </c>
      <c r="G30" s="34" t="s">
        <v>70</v>
      </c>
      <c r="H30" s="34" t="s">
        <v>74</v>
      </c>
      <c r="I30" s="34" t="s">
        <v>40</v>
      </c>
      <c r="J30" s="34" t="s">
        <v>41</v>
      </c>
    </row>
    <row r="31" spans="2:11" x14ac:dyDescent="0.15">
      <c r="B31" s="35">
        <v>2250</v>
      </c>
      <c r="C31" s="35">
        <v>1100</v>
      </c>
      <c r="D31" s="123">
        <v>4595933</v>
      </c>
      <c r="E31" s="123">
        <f>(D31/B31)*C31</f>
        <v>2246900.5777777778</v>
      </c>
      <c r="F31" s="123">
        <v>4354646</v>
      </c>
      <c r="G31" s="123">
        <f>ROUNDDOWN(E31*D18,0)</f>
        <v>2128938</v>
      </c>
      <c r="H31" s="123">
        <f>ROUNDDOWN((G31*D25)/365,0)</f>
        <v>1236533</v>
      </c>
      <c r="I31" s="123">
        <f>I25</f>
        <v>1393764</v>
      </c>
      <c r="J31" s="124">
        <f>I31/H31-1</f>
        <v>0.1271547140270417</v>
      </c>
    </row>
    <row r="32" spans="2:11" x14ac:dyDescent="0.15">
      <c r="E32" s="68"/>
      <c r="F32" s="37"/>
    </row>
    <row r="33" spans="2:8" x14ac:dyDescent="0.15">
      <c r="D33" s="68"/>
      <c r="E33" s="68"/>
    </row>
    <row r="35" spans="2:8" x14ac:dyDescent="0.15">
      <c r="B35" s="89" t="s">
        <v>80</v>
      </c>
      <c r="C35" s="90"/>
      <c r="D35" s="91"/>
    </row>
    <row r="36" spans="2:8" x14ac:dyDescent="0.15">
      <c r="B36" s="81" t="s">
        <v>81</v>
      </c>
      <c r="C36" s="81" t="s">
        <v>86</v>
      </c>
      <c r="D36" s="81" t="s">
        <v>87</v>
      </c>
    </row>
    <row r="37" spans="2:8" ht="28" x14ac:dyDescent="0.15">
      <c r="B37" s="82" t="s">
        <v>82</v>
      </c>
      <c r="C37" s="45">
        <f>'250 MW AP'!C24</f>
        <v>24.5</v>
      </c>
      <c r="D37" s="73">
        <f>'250 MW AP'!C25</f>
        <v>27.366807352941176</v>
      </c>
    </row>
    <row r="38" spans="2:8" ht="14" x14ac:dyDescent="0.15">
      <c r="B38" s="82" t="s">
        <v>83</v>
      </c>
      <c r="C38" s="45">
        <f>'300 MW Phalodi '!C24</f>
        <v>24</v>
      </c>
      <c r="D38" s="73">
        <f>'300 MW Phalodi '!C25</f>
        <v>26.407677935010483</v>
      </c>
    </row>
    <row r="39" spans="2:8" ht="14" x14ac:dyDescent="0.15">
      <c r="B39" s="82" t="s">
        <v>84</v>
      </c>
      <c r="C39" s="45">
        <f>'350 MW AP'!C29</f>
        <v>24</v>
      </c>
      <c r="D39" s="5">
        <f>'350 MW AP'!C30</f>
        <v>23.630872809973045</v>
      </c>
    </row>
    <row r="40" spans="2:8" ht="14" x14ac:dyDescent="0.15">
      <c r="B40" s="82" t="s">
        <v>85</v>
      </c>
      <c r="C40" s="73">
        <f>'200 MW Pavagadaa'!C26</f>
        <v>22.5</v>
      </c>
      <c r="D40" s="73">
        <f>'200 MW Pavagadaa'!C27</f>
        <v>27.928713148584901</v>
      </c>
    </row>
    <row r="46" spans="2:8" x14ac:dyDescent="0.15">
      <c r="B46" s="88" t="s">
        <v>93</v>
      </c>
      <c r="C46" s="88"/>
      <c r="D46" s="88"/>
      <c r="E46" s="88"/>
      <c r="F46" s="88"/>
      <c r="G46" s="88"/>
      <c r="H46" s="88"/>
    </row>
    <row r="47" spans="2:8" x14ac:dyDescent="0.15">
      <c r="B47" s="88"/>
      <c r="C47" s="88"/>
      <c r="D47" s="88"/>
      <c r="E47" s="88"/>
      <c r="F47" s="88"/>
      <c r="G47" s="88"/>
      <c r="H47" s="88"/>
    </row>
    <row r="48" spans="2:8" x14ac:dyDescent="0.15">
      <c r="B48" s="88"/>
      <c r="C48" s="88"/>
      <c r="D48" s="88"/>
      <c r="E48" s="88"/>
      <c r="F48" s="88"/>
      <c r="G48" s="88"/>
      <c r="H48" s="88"/>
    </row>
  </sheetData>
  <mergeCells count="7">
    <mergeCell ref="B46:H48"/>
    <mergeCell ref="B35:D35"/>
    <mergeCell ref="C1:H1"/>
    <mergeCell ref="C2:H2"/>
    <mergeCell ref="C3:H3"/>
    <mergeCell ref="C4:H4"/>
    <mergeCell ref="C5:H5"/>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BDE47-EE65-4783-A603-F62C80B6E6FF}">
  <dimension ref="B1:Q51"/>
  <sheetViews>
    <sheetView zoomScale="90" zoomScaleNormal="90" workbookViewId="0">
      <pane xSplit="4" ySplit="12" topLeftCell="E13" activePane="bottomRight" state="frozen"/>
      <selection pane="topRight" activeCell="E1" sqref="E1"/>
      <selection pane="bottomLeft" activeCell="A5" sqref="A5"/>
      <selection pane="bottomRight" activeCell="E13" sqref="E13:G13"/>
    </sheetView>
  </sheetViews>
  <sheetFormatPr baseColWidth="10" defaultColWidth="9.1640625" defaultRowHeight="16" customHeight="1" x14ac:dyDescent="0.15"/>
  <cols>
    <col min="1" max="1" width="3" style="1" customWidth="1"/>
    <col min="2" max="2" width="31.33203125" style="1" customWidth="1"/>
    <col min="3" max="3" width="14.33203125" style="1" customWidth="1"/>
    <col min="4" max="4" width="13.5" style="1" customWidth="1"/>
    <col min="5" max="10" width="12" style="1" customWidth="1"/>
    <col min="11" max="11" width="14" style="1" customWidth="1"/>
    <col min="12" max="12" width="13.6640625" style="1" customWidth="1"/>
    <col min="13" max="14" width="12.5" style="1" customWidth="1"/>
    <col min="15" max="15" width="14.6640625" style="1" customWidth="1"/>
    <col min="16" max="16" width="13.83203125" style="1" customWidth="1"/>
    <col min="17" max="17" width="12.5" style="1" customWidth="1"/>
    <col min="18" max="16384" width="9.1640625" style="1"/>
  </cols>
  <sheetData>
    <row r="1" spans="2:17" ht="16" customHeight="1" x14ac:dyDescent="0.15">
      <c r="B1" s="14" t="s">
        <v>11</v>
      </c>
      <c r="C1" s="92">
        <f>'ER Cal -Summary'!$C$1</f>
        <v>1805</v>
      </c>
      <c r="D1" s="92"/>
      <c r="E1" s="92"/>
      <c r="F1" s="92"/>
      <c r="G1" s="42"/>
      <c r="H1" s="42"/>
      <c r="I1" s="42"/>
      <c r="J1" s="42"/>
    </row>
    <row r="2" spans="2:17" ht="16" customHeight="1" x14ac:dyDescent="0.15">
      <c r="B2" s="14" t="s">
        <v>10</v>
      </c>
      <c r="C2" s="92" t="str">
        <f>'ER Cal -Summary'!$C$2</f>
        <v>Solar Energy Project(s) by SB Energy Private Limited</v>
      </c>
      <c r="D2" s="92"/>
      <c r="E2" s="92"/>
      <c r="F2" s="92"/>
      <c r="G2" s="42"/>
      <c r="H2" s="42"/>
      <c r="I2" s="42"/>
      <c r="J2" s="42"/>
    </row>
    <row r="3" spans="2:17" ht="15.75" customHeight="1" x14ac:dyDescent="0.15">
      <c r="B3" s="14" t="s">
        <v>26</v>
      </c>
      <c r="C3" s="104" t="str">
        <f>'ER Cal -Summary'!$C$3</f>
        <v>From 01-Feb-2023 to 31/08/2023 (Both days inclusive)</v>
      </c>
      <c r="D3" s="104"/>
      <c r="E3" s="104"/>
      <c r="F3" s="104"/>
      <c r="G3" s="42"/>
      <c r="H3" s="42"/>
      <c r="I3" s="42"/>
      <c r="J3" s="42"/>
    </row>
    <row r="4" spans="2:17" ht="16" customHeight="1" x14ac:dyDescent="0.15">
      <c r="B4" s="14" t="s">
        <v>27</v>
      </c>
      <c r="C4" s="92">
        <f>'ER Cal -Summary'!$C$4</f>
        <v>3</v>
      </c>
      <c r="D4" s="92"/>
      <c r="E4" s="92"/>
      <c r="F4" s="92"/>
      <c r="G4" s="42"/>
      <c r="H4" s="42"/>
      <c r="I4" s="42"/>
      <c r="J4" s="42"/>
    </row>
    <row r="5" spans="2:17" ht="16" customHeight="1" x14ac:dyDescent="0.15">
      <c r="B5" s="14" t="s">
        <v>28</v>
      </c>
      <c r="C5" s="94">
        <f>'ER Cal -Summary'!$C$5</f>
        <v>45348</v>
      </c>
      <c r="D5" s="95"/>
      <c r="E5" s="21"/>
      <c r="F5" s="21"/>
      <c r="G5" s="43"/>
      <c r="H5" s="43"/>
      <c r="I5" s="43"/>
      <c r="J5" s="43"/>
    </row>
    <row r="6" spans="2:17" ht="16" customHeight="1" x14ac:dyDescent="0.15">
      <c r="B6" s="14" t="s">
        <v>29</v>
      </c>
      <c r="C6" s="92" t="s">
        <v>44</v>
      </c>
      <c r="D6" s="92"/>
      <c r="E6" s="92"/>
      <c r="F6" s="92"/>
      <c r="G6" s="42"/>
      <c r="H6" s="42"/>
      <c r="I6" s="42"/>
      <c r="J6" s="42"/>
    </row>
    <row r="7" spans="2:17" ht="13.5" customHeight="1" x14ac:dyDescent="0.15"/>
    <row r="8" spans="2:17" ht="15.75" hidden="1" customHeight="1" x14ac:dyDescent="0.15"/>
    <row r="9" spans="2:17" ht="15.75" hidden="1" customHeight="1" x14ac:dyDescent="0.15"/>
    <row r="10" spans="2:17" ht="16" customHeight="1" x14ac:dyDescent="0.15">
      <c r="B10" s="107" t="s">
        <v>0</v>
      </c>
      <c r="C10" s="107" t="s">
        <v>1</v>
      </c>
      <c r="D10" s="107"/>
      <c r="E10" s="106" t="s">
        <v>48</v>
      </c>
      <c r="F10" s="106"/>
      <c r="G10" s="106"/>
      <c r="H10" s="106"/>
      <c r="I10" s="106"/>
      <c r="J10" s="106"/>
      <c r="K10" s="106"/>
      <c r="L10" s="106"/>
      <c r="M10" s="99" t="s">
        <v>64</v>
      </c>
      <c r="N10" s="99"/>
      <c r="O10" s="99"/>
      <c r="P10" s="99"/>
    </row>
    <row r="11" spans="2:17" ht="16" customHeight="1" x14ac:dyDescent="0.15">
      <c r="B11" s="107"/>
      <c r="C11" s="107"/>
      <c r="D11" s="107"/>
      <c r="E11" s="98" t="s">
        <v>6</v>
      </c>
      <c r="F11" s="98" t="s">
        <v>7</v>
      </c>
      <c r="G11" s="100" t="s">
        <v>56</v>
      </c>
      <c r="H11" s="100" t="s">
        <v>6</v>
      </c>
      <c r="I11" s="100" t="s">
        <v>7</v>
      </c>
      <c r="J11" s="100" t="s">
        <v>56</v>
      </c>
      <c r="K11" s="98" t="s">
        <v>8</v>
      </c>
      <c r="L11" s="98" t="s">
        <v>49</v>
      </c>
      <c r="M11" s="102" t="s">
        <v>6</v>
      </c>
      <c r="N11" s="102" t="s">
        <v>7</v>
      </c>
      <c r="O11" s="102" t="s">
        <v>63</v>
      </c>
      <c r="P11" s="97" t="s">
        <v>49</v>
      </c>
    </row>
    <row r="12" spans="2:17" ht="16" customHeight="1" x14ac:dyDescent="0.15">
      <c r="B12" s="107"/>
      <c r="C12" s="15" t="s">
        <v>2</v>
      </c>
      <c r="D12" s="15" t="s">
        <v>3</v>
      </c>
      <c r="E12" s="98"/>
      <c r="F12" s="98"/>
      <c r="G12" s="101"/>
      <c r="H12" s="101"/>
      <c r="I12" s="101"/>
      <c r="J12" s="101"/>
      <c r="K12" s="98"/>
      <c r="L12" s="98"/>
      <c r="M12" s="103"/>
      <c r="N12" s="103"/>
      <c r="O12" s="103"/>
      <c r="P12" s="97"/>
    </row>
    <row r="13" spans="2:17" ht="16" customHeight="1" x14ac:dyDescent="0.15">
      <c r="B13" s="15"/>
      <c r="C13" s="15"/>
      <c r="D13" s="15"/>
      <c r="E13" s="108" t="s">
        <v>72</v>
      </c>
      <c r="F13" s="109"/>
      <c r="G13" s="110"/>
      <c r="H13" s="108" t="s">
        <v>73</v>
      </c>
      <c r="I13" s="109"/>
      <c r="J13" s="110"/>
      <c r="K13" s="49"/>
      <c r="L13" s="49"/>
      <c r="M13" s="6"/>
      <c r="N13" s="6"/>
      <c r="O13" s="6"/>
      <c r="P13" s="6"/>
    </row>
    <row r="14" spans="2:17" s="23" customFormat="1" ht="16" customHeight="1" x14ac:dyDescent="0.15">
      <c r="B14" s="39">
        <v>44958</v>
      </c>
      <c r="C14" s="21">
        <v>44958</v>
      </c>
      <c r="D14" s="21">
        <v>44985</v>
      </c>
      <c r="E14" s="44">
        <v>22982.1</v>
      </c>
      <c r="F14" s="44">
        <v>120.6</v>
      </c>
      <c r="G14" s="44">
        <f>E14-F14</f>
        <v>22861.5</v>
      </c>
      <c r="H14" s="44">
        <v>23433.9</v>
      </c>
      <c r="I14" s="44">
        <v>149.19999999999999</v>
      </c>
      <c r="J14" s="44">
        <f>H14-I14</f>
        <v>23284.7</v>
      </c>
      <c r="K14" s="50">
        <f>G14+J14</f>
        <v>46146.2</v>
      </c>
      <c r="L14" s="50">
        <f>46146200/1000</f>
        <v>46146.2</v>
      </c>
      <c r="M14" s="56">
        <f>18725520/1000</f>
        <v>18725.52</v>
      </c>
      <c r="N14" s="56">
        <f>83462/1000</f>
        <v>83.462000000000003</v>
      </c>
      <c r="O14" s="56">
        <f>M14-N14</f>
        <v>18642.058000000001</v>
      </c>
      <c r="P14" s="57">
        <f>18642058/1000</f>
        <v>18642.058000000001</v>
      </c>
      <c r="Q14" s="22"/>
    </row>
    <row r="15" spans="2:17" s="23" customFormat="1" ht="16" customHeight="1" x14ac:dyDescent="0.15">
      <c r="B15" s="39">
        <v>45008</v>
      </c>
      <c r="C15" s="21">
        <v>44986</v>
      </c>
      <c r="D15" s="21">
        <v>45016</v>
      </c>
      <c r="E15" s="44">
        <v>22802.400000000001</v>
      </c>
      <c r="F15" s="44">
        <v>82.1</v>
      </c>
      <c r="G15" s="44">
        <f t="shared" ref="G15:G20" si="0">E15-F15</f>
        <v>22720.300000000003</v>
      </c>
      <c r="H15" s="44">
        <v>23380.7</v>
      </c>
      <c r="I15" s="44">
        <v>214.1</v>
      </c>
      <c r="J15" s="44">
        <f t="shared" ref="J15:J20" si="1">H15-I15</f>
        <v>23166.600000000002</v>
      </c>
      <c r="K15" s="50">
        <f t="shared" ref="K15:K20" si="2">G15+J15</f>
        <v>45886.900000000009</v>
      </c>
      <c r="L15" s="50">
        <f>45886900/1000</f>
        <v>45886.9</v>
      </c>
      <c r="M15" s="56">
        <f>18495531.4/1000</f>
        <v>18495.5314</v>
      </c>
      <c r="N15" s="56">
        <f>90939/1000</f>
        <v>90.938999999999993</v>
      </c>
      <c r="O15" s="56">
        <f>M15-N15</f>
        <v>18404.592400000001</v>
      </c>
      <c r="P15" s="60">
        <f>18404593/1000</f>
        <v>18404.593000000001</v>
      </c>
      <c r="Q15" s="22"/>
    </row>
    <row r="16" spans="2:17" s="23" customFormat="1" ht="16" customHeight="1" x14ac:dyDescent="0.15">
      <c r="B16" s="39">
        <v>45039</v>
      </c>
      <c r="C16" s="21">
        <v>45017</v>
      </c>
      <c r="D16" s="21">
        <v>45046</v>
      </c>
      <c r="E16" s="44">
        <v>24116.3</v>
      </c>
      <c r="F16" s="44">
        <v>31</v>
      </c>
      <c r="G16" s="44">
        <f t="shared" si="0"/>
        <v>24085.3</v>
      </c>
      <c r="H16" s="44">
        <v>25604.2</v>
      </c>
      <c r="I16" s="44">
        <v>229.1</v>
      </c>
      <c r="J16" s="44">
        <f t="shared" si="1"/>
        <v>25375.100000000002</v>
      </c>
      <c r="K16" s="50">
        <f t="shared" si="2"/>
        <v>49460.4</v>
      </c>
      <c r="L16" s="55">
        <f>49460400/1000</f>
        <v>49460.4</v>
      </c>
      <c r="M16" s="56">
        <f>19490345.71/1000</f>
        <v>19490.345710000001</v>
      </c>
      <c r="N16" s="56">
        <f>85359.12312/1000</f>
        <v>85.359123120000007</v>
      </c>
      <c r="O16" s="56">
        <f t="shared" ref="O16:O20" si="3">M16-N16</f>
        <v>19404.986586880001</v>
      </c>
      <c r="P16" s="60">
        <f>19404987/1000</f>
        <v>19404.987000000001</v>
      </c>
      <c r="Q16" s="22"/>
    </row>
    <row r="17" spans="2:17" s="23" customFormat="1" ht="16" customHeight="1" x14ac:dyDescent="0.15">
      <c r="B17" s="39">
        <v>45047</v>
      </c>
      <c r="C17" s="21">
        <v>45047</v>
      </c>
      <c r="D17" s="21">
        <v>45077</v>
      </c>
      <c r="E17" s="51">
        <v>22386.2</v>
      </c>
      <c r="F17" s="44">
        <v>49.9</v>
      </c>
      <c r="G17" s="44">
        <f t="shared" si="0"/>
        <v>22336.3</v>
      </c>
      <c r="H17" s="44">
        <v>23655.5</v>
      </c>
      <c r="I17" s="44">
        <v>228.5</v>
      </c>
      <c r="J17" s="44">
        <f t="shared" si="1"/>
        <v>23427</v>
      </c>
      <c r="K17" s="50">
        <f t="shared" si="2"/>
        <v>45763.3</v>
      </c>
      <c r="L17" s="55">
        <f>45763300/1000</f>
        <v>45763.3</v>
      </c>
      <c r="M17" s="56">
        <f>18241311/1000</f>
        <v>18241.311000000002</v>
      </c>
      <c r="N17" s="56">
        <f>85471/1000</f>
        <v>85.471000000000004</v>
      </c>
      <c r="O17" s="56">
        <f t="shared" si="3"/>
        <v>18155.84</v>
      </c>
      <c r="P17" s="60">
        <f>18155840/1000</f>
        <v>18155.84</v>
      </c>
      <c r="Q17" s="22"/>
    </row>
    <row r="18" spans="2:17" s="23" customFormat="1" ht="16" customHeight="1" x14ac:dyDescent="0.15">
      <c r="B18" s="39">
        <v>45078</v>
      </c>
      <c r="C18" s="21">
        <v>45078</v>
      </c>
      <c r="D18" s="21">
        <v>45107</v>
      </c>
      <c r="E18" s="51">
        <v>19778.099999999999</v>
      </c>
      <c r="F18" s="52">
        <v>53.9</v>
      </c>
      <c r="G18" s="44">
        <f t="shared" si="0"/>
        <v>19724.199999999997</v>
      </c>
      <c r="H18" s="51">
        <v>21079.200000000001</v>
      </c>
      <c r="I18" s="44">
        <v>216</v>
      </c>
      <c r="J18" s="44">
        <f t="shared" si="1"/>
        <v>20863.2</v>
      </c>
      <c r="K18" s="50">
        <f t="shared" si="2"/>
        <v>40587.399999999994</v>
      </c>
      <c r="L18" s="55">
        <f>40587400/1000</f>
        <v>40587.4</v>
      </c>
      <c r="M18" s="56">
        <f>16194658/1000</f>
        <v>16194.657999999999</v>
      </c>
      <c r="N18" s="56">
        <f>77295/1000</f>
        <v>77.295000000000002</v>
      </c>
      <c r="O18" s="56">
        <f t="shared" si="3"/>
        <v>16117.362999999999</v>
      </c>
      <c r="P18" s="60">
        <f>16117363/1000</f>
        <v>16117.362999999999</v>
      </c>
      <c r="Q18" s="22"/>
    </row>
    <row r="19" spans="2:17" s="23" customFormat="1" ht="16" customHeight="1" x14ac:dyDescent="0.15">
      <c r="B19" s="39">
        <v>45108</v>
      </c>
      <c r="C19" s="21">
        <v>45108</v>
      </c>
      <c r="D19" s="21">
        <v>45138</v>
      </c>
      <c r="E19" s="51">
        <v>16476.2</v>
      </c>
      <c r="F19" s="52">
        <v>60.3</v>
      </c>
      <c r="G19" s="44">
        <f t="shared" si="0"/>
        <v>16415.900000000001</v>
      </c>
      <c r="H19" s="51">
        <v>17103.3</v>
      </c>
      <c r="I19" s="52">
        <v>230.2</v>
      </c>
      <c r="J19" s="44">
        <f t="shared" si="1"/>
        <v>16873.099999999999</v>
      </c>
      <c r="K19" s="50">
        <f t="shared" si="2"/>
        <v>33289</v>
      </c>
      <c r="L19" s="55">
        <f>33289000/1000</f>
        <v>33289</v>
      </c>
      <c r="M19" s="56">
        <f>13098342/1000</f>
        <v>13098.342000000001</v>
      </c>
      <c r="N19" s="56">
        <f>94042/1000</f>
        <v>94.042000000000002</v>
      </c>
      <c r="O19" s="56">
        <f t="shared" si="3"/>
        <v>13004.300000000001</v>
      </c>
      <c r="P19" s="60">
        <f>13004300/1000</f>
        <v>13004.3</v>
      </c>
      <c r="Q19" s="22"/>
    </row>
    <row r="20" spans="2:17" s="23" customFormat="1" ht="16" customHeight="1" x14ac:dyDescent="0.15">
      <c r="B20" s="39">
        <v>45139</v>
      </c>
      <c r="C20" s="21">
        <v>45139</v>
      </c>
      <c r="D20" s="21">
        <v>45169</v>
      </c>
      <c r="E20" s="51">
        <v>19761.7</v>
      </c>
      <c r="F20" s="52">
        <v>36.200000000000003</v>
      </c>
      <c r="G20" s="44">
        <f t="shared" si="0"/>
        <v>19725.5</v>
      </c>
      <c r="H20" s="51">
        <v>20650.400000000001</v>
      </c>
      <c r="I20" s="52">
        <v>251.4</v>
      </c>
      <c r="J20" s="44">
        <f t="shared" si="1"/>
        <v>20399</v>
      </c>
      <c r="K20" s="50">
        <f t="shared" si="2"/>
        <v>40124.5</v>
      </c>
      <c r="L20" s="55">
        <f>40124500/1000</f>
        <v>40124.5</v>
      </c>
      <c r="M20" s="56">
        <f>15917808/1000</f>
        <v>15917.808000000001</v>
      </c>
      <c r="N20" s="56">
        <f>86066/1000</f>
        <v>86.066000000000003</v>
      </c>
      <c r="O20" s="56">
        <f t="shared" si="3"/>
        <v>15831.742</v>
      </c>
      <c r="P20" s="60">
        <f>15831742/1000</f>
        <v>15831.742</v>
      </c>
      <c r="Q20" s="22"/>
    </row>
    <row r="21" spans="2:17" s="23" customFormat="1" ht="16" customHeight="1" x14ac:dyDescent="0.2">
      <c r="B21" s="105" t="s">
        <v>4</v>
      </c>
      <c r="C21" s="105"/>
      <c r="D21" s="105"/>
      <c r="E21" s="53"/>
      <c r="F21" s="53"/>
      <c r="G21" s="53"/>
      <c r="H21" s="53"/>
      <c r="I21" s="53"/>
      <c r="J21" s="53"/>
      <c r="K21" s="54">
        <f>SUM(K14:K20)</f>
        <v>301257.69999999995</v>
      </c>
      <c r="L21" s="54">
        <f>SUM(L14:L20)</f>
        <v>301257.69999999995</v>
      </c>
      <c r="M21" s="58"/>
      <c r="N21" s="58"/>
      <c r="O21" s="58"/>
      <c r="P21" s="59">
        <f>SUM(P14:P20)</f>
        <v>119560.883</v>
      </c>
    </row>
    <row r="24" spans="2:17" ht="27.5" customHeight="1" x14ac:dyDescent="0.15">
      <c r="B24" s="77" t="s">
        <v>78</v>
      </c>
      <c r="C24" s="45">
        <f>735840000/1000</f>
        <v>735840</v>
      </c>
    </row>
    <row r="25" spans="2:17" ht="16" customHeight="1" x14ac:dyDescent="0.15">
      <c r="B25" s="19" t="s">
        <v>75</v>
      </c>
      <c r="C25" s="5">
        <f>K21+P21</f>
        <v>420818.58299999998</v>
      </c>
      <c r="P25" s="24"/>
    </row>
    <row r="26" spans="2:17" ht="16" customHeight="1" x14ac:dyDescent="0.15">
      <c r="B26" s="19" t="s">
        <v>15</v>
      </c>
      <c r="C26" s="5">
        <f>SUM(C25:C25)</f>
        <v>420818.58299999998</v>
      </c>
      <c r="E26" s="24"/>
      <c r="F26" s="24"/>
      <c r="G26" s="24"/>
      <c r="H26" s="24"/>
      <c r="I26" s="24"/>
      <c r="J26" s="24"/>
      <c r="P26" s="24"/>
    </row>
    <row r="27" spans="2:17" ht="16" customHeight="1" x14ac:dyDescent="0.15">
      <c r="B27" s="19" t="s">
        <v>17</v>
      </c>
      <c r="C27" s="4">
        <v>0.94750000000000001</v>
      </c>
      <c r="E27" s="24"/>
      <c r="F27" s="24"/>
      <c r="G27" s="24"/>
      <c r="H27" s="24"/>
      <c r="I27" s="24"/>
      <c r="J27" s="24"/>
    </row>
    <row r="28" spans="2:17" ht="16" customHeight="1" x14ac:dyDescent="0.15">
      <c r="B28" s="19" t="s">
        <v>18</v>
      </c>
      <c r="C28" s="78">
        <f>ROUNDDOWN(C26*C27,0)</f>
        <v>398725</v>
      </c>
      <c r="E28" s="24"/>
      <c r="F28" s="24"/>
      <c r="G28" s="24"/>
      <c r="H28" s="24"/>
      <c r="I28" s="24"/>
      <c r="J28" s="24"/>
    </row>
    <row r="29" spans="2:17" ht="30" customHeight="1" x14ac:dyDescent="0.15">
      <c r="B29" s="77" t="s">
        <v>76</v>
      </c>
      <c r="C29" s="45">
        <f>C24/(350*24*365)*100</f>
        <v>24</v>
      </c>
      <c r="E29" s="24"/>
      <c r="F29" s="24"/>
      <c r="G29" s="24"/>
      <c r="H29" s="24"/>
      <c r="I29" s="24"/>
      <c r="J29" s="24"/>
    </row>
    <row r="30" spans="2:17" ht="16" customHeight="1" x14ac:dyDescent="0.15">
      <c r="B30" s="77" t="s">
        <v>77</v>
      </c>
      <c r="C30" s="45">
        <f>C25/(350*24*212)*100</f>
        <v>23.630872809973045</v>
      </c>
    </row>
    <row r="31" spans="2:17" ht="16" customHeight="1" x14ac:dyDescent="0.15">
      <c r="B31" s="77" t="s">
        <v>79</v>
      </c>
      <c r="C31" s="5">
        <f>((C30/C29)-1)*100</f>
        <v>-1.5380299584456414</v>
      </c>
    </row>
    <row r="51" spans="17:17" ht="16" customHeight="1" x14ac:dyDescent="0.15">
      <c r="Q51" s="1" t="s">
        <v>12</v>
      </c>
    </row>
  </sheetData>
  <mergeCells count="25">
    <mergeCell ref="B21:D21"/>
    <mergeCell ref="E10:L10"/>
    <mergeCell ref="B10:B12"/>
    <mergeCell ref="C10:D11"/>
    <mergeCell ref="G11:G12"/>
    <mergeCell ref="E13:G13"/>
    <mergeCell ref="H13:J13"/>
    <mergeCell ref="C1:F1"/>
    <mergeCell ref="C2:F2"/>
    <mergeCell ref="C3:F3"/>
    <mergeCell ref="C4:F4"/>
    <mergeCell ref="C5:D5"/>
    <mergeCell ref="P11:P12"/>
    <mergeCell ref="C6:F6"/>
    <mergeCell ref="E11:E12"/>
    <mergeCell ref="F11:F12"/>
    <mergeCell ref="K11:K12"/>
    <mergeCell ref="L11:L12"/>
    <mergeCell ref="M10:P10"/>
    <mergeCell ref="H11:H12"/>
    <mergeCell ref="I11:I12"/>
    <mergeCell ref="J11:J12"/>
    <mergeCell ref="M11:M12"/>
    <mergeCell ref="N11:N12"/>
    <mergeCell ref="O11:O1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341A0-CD60-493A-A320-6B79AB2280C7}">
  <dimension ref="B2:K41"/>
  <sheetViews>
    <sheetView topLeftCell="A16" zoomScale="133" zoomScaleNormal="110" workbookViewId="0">
      <selection activeCell="C11" sqref="C11"/>
    </sheetView>
  </sheetViews>
  <sheetFormatPr baseColWidth="10" defaultColWidth="9.1640625" defaultRowHeight="16" customHeight="1" x14ac:dyDescent="0.15"/>
  <cols>
    <col min="1" max="1" width="2.5" style="1" customWidth="1"/>
    <col min="2" max="2" width="35" style="1" customWidth="1"/>
    <col min="3" max="3" width="20.5" style="1" customWidth="1"/>
    <col min="4" max="6" width="15.1640625" style="1" bestFit="1" customWidth="1"/>
    <col min="7" max="7" width="15.5" style="1" customWidth="1"/>
    <col min="8" max="8" width="17" style="1" customWidth="1"/>
    <col min="9" max="9" width="14.1640625" style="1" customWidth="1"/>
    <col min="10" max="16384" width="9.1640625" style="1"/>
  </cols>
  <sheetData>
    <row r="2" spans="2:11" ht="16" customHeight="1" x14ac:dyDescent="0.15">
      <c r="B2" s="14" t="s">
        <v>11</v>
      </c>
      <c r="C2" s="92">
        <f>'ER Cal -Summary'!$C$1</f>
        <v>1805</v>
      </c>
      <c r="D2" s="92"/>
      <c r="E2" s="92"/>
      <c r="F2" s="92"/>
      <c r="G2" s="92"/>
      <c r="H2" s="92"/>
    </row>
    <row r="3" spans="2:11" ht="16" customHeight="1" x14ac:dyDescent="0.15">
      <c r="B3" s="14" t="s">
        <v>10</v>
      </c>
      <c r="C3" s="92" t="str">
        <f>'ER Cal -Summary'!$C$2</f>
        <v>Solar Energy Project(s) by SB Energy Private Limited</v>
      </c>
      <c r="D3" s="92"/>
      <c r="E3" s="92"/>
      <c r="F3" s="92"/>
      <c r="G3" s="92"/>
      <c r="H3" s="92"/>
    </row>
    <row r="4" spans="2:11" ht="16" customHeight="1" x14ac:dyDescent="0.15">
      <c r="B4" s="14" t="s">
        <v>26</v>
      </c>
      <c r="C4" s="92" t="str">
        <f>'ER Cal -Summary'!$C$3</f>
        <v>From 01-Feb-2023 to 31/08/2023 (Both days inclusive)</v>
      </c>
      <c r="D4" s="92"/>
      <c r="E4" s="92"/>
      <c r="F4" s="92"/>
      <c r="G4" s="92"/>
      <c r="H4" s="92"/>
    </row>
    <row r="5" spans="2:11" ht="16" customHeight="1" x14ac:dyDescent="0.15">
      <c r="B5" s="14" t="s">
        <v>27</v>
      </c>
      <c r="C5" s="114">
        <v>2</v>
      </c>
      <c r="D5" s="114"/>
      <c r="E5" s="114"/>
      <c r="F5" s="114"/>
      <c r="G5" s="114"/>
      <c r="H5" s="114"/>
    </row>
    <row r="6" spans="2:11" ht="16" customHeight="1" x14ac:dyDescent="0.15">
      <c r="B6" s="14" t="s">
        <v>28</v>
      </c>
      <c r="C6" s="94">
        <v>45348</v>
      </c>
      <c r="D6" s="95"/>
      <c r="E6" s="95"/>
      <c r="F6" s="95"/>
      <c r="G6" s="95"/>
      <c r="H6" s="96"/>
    </row>
    <row r="7" spans="2:11" ht="16" customHeight="1" x14ac:dyDescent="0.15">
      <c r="B7" s="14" t="s">
        <v>29</v>
      </c>
      <c r="C7" s="92" t="s">
        <v>47</v>
      </c>
      <c r="D7" s="92"/>
      <c r="E7" s="92"/>
      <c r="F7" s="92"/>
      <c r="G7" s="92"/>
      <c r="H7" s="92"/>
    </row>
    <row r="8" spans="2:11" ht="9" customHeight="1" x14ac:dyDescent="0.15"/>
    <row r="9" spans="2:11" ht="16" customHeight="1" x14ac:dyDescent="0.15">
      <c r="B9" s="113" t="s">
        <v>13</v>
      </c>
      <c r="C9" s="113"/>
    </row>
    <row r="10" spans="2:11" ht="27" customHeight="1" x14ac:dyDescent="0.15">
      <c r="B10" s="15" t="s">
        <v>9</v>
      </c>
      <c r="C10" s="2" t="s">
        <v>53</v>
      </c>
      <c r="D10" s="2" t="s">
        <v>54</v>
      </c>
      <c r="E10" s="2" t="s">
        <v>55</v>
      </c>
      <c r="F10" s="2" t="s">
        <v>58</v>
      </c>
      <c r="G10" s="2" t="s">
        <v>16</v>
      </c>
      <c r="H10" s="2" t="s">
        <v>59</v>
      </c>
    </row>
    <row r="11" spans="2:11" ht="16" customHeight="1" x14ac:dyDescent="0.15">
      <c r="B11" s="7">
        <f>'350 MW AP'!B14</f>
        <v>44958</v>
      </c>
      <c r="C11" s="119">
        <f>42798115/(4*1000)</f>
        <v>10699.528749999999</v>
      </c>
      <c r="D11" s="119">
        <f t="shared" ref="D11:F11" si="0">42798115/(4*1000)</f>
        <v>10699.528749999999</v>
      </c>
      <c r="E11" s="119">
        <f t="shared" si="0"/>
        <v>10699.528749999999</v>
      </c>
      <c r="F11" s="119">
        <f t="shared" si="0"/>
        <v>10699.528749999999</v>
      </c>
      <c r="G11" s="120">
        <f t="shared" ref="G11:G17" si="1">C11+D11+E11+F11</f>
        <v>42798.114999999998</v>
      </c>
      <c r="H11" s="121">
        <f>(10699529+10699529+10699529+10699529)/1000</f>
        <v>42798.116000000002</v>
      </c>
      <c r="J11" s="71"/>
      <c r="K11" s="71">
        <f>J11*100</f>
        <v>0</v>
      </c>
    </row>
    <row r="12" spans="2:11" ht="16" customHeight="1" x14ac:dyDescent="0.15">
      <c r="B12" s="7">
        <f>'350 MW AP'!B15</f>
        <v>45008</v>
      </c>
      <c r="C12" s="119">
        <f>46203320/(4*1000)</f>
        <v>11550.83</v>
      </c>
      <c r="D12" s="119">
        <f t="shared" ref="D12:F12" si="2">46203320/(4*1000)</f>
        <v>11550.83</v>
      </c>
      <c r="E12" s="119">
        <f t="shared" si="2"/>
        <v>11550.83</v>
      </c>
      <c r="F12" s="119">
        <f t="shared" si="2"/>
        <v>11550.83</v>
      </c>
      <c r="G12" s="120">
        <f t="shared" si="1"/>
        <v>46203.32</v>
      </c>
      <c r="H12" s="122">
        <f>(11550830+11550830+11550830+11550830)/1000</f>
        <v>46203.32</v>
      </c>
      <c r="J12" s="71"/>
      <c r="K12" s="71"/>
    </row>
    <row r="13" spans="2:11" ht="16" customHeight="1" x14ac:dyDescent="0.15">
      <c r="B13" s="7">
        <f>'350 MW AP'!B16</f>
        <v>45039</v>
      </c>
      <c r="C13" s="119">
        <f>39753855/(4*1000)</f>
        <v>9938.4637500000008</v>
      </c>
      <c r="D13" s="119">
        <f>39753855/(4*1000)</f>
        <v>9938.4637500000008</v>
      </c>
      <c r="E13" s="119">
        <f>39753855/(4*1000)</f>
        <v>9938.4637500000008</v>
      </c>
      <c r="F13" s="119">
        <f>39753855/(4*1000)</f>
        <v>9938.4637500000008</v>
      </c>
      <c r="G13" s="120">
        <f t="shared" si="1"/>
        <v>39753.855000000003</v>
      </c>
      <c r="H13" s="121">
        <f>(11099808+11099808+11099808+11099808)/1000</f>
        <v>44399.232000000004</v>
      </c>
      <c r="I13" s="71"/>
      <c r="J13" s="71"/>
      <c r="K13" s="71"/>
    </row>
    <row r="14" spans="2:11" ht="16" customHeight="1" x14ac:dyDescent="0.15">
      <c r="B14" s="7">
        <f>'350 MW AP'!B17</f>
        <v>45047</v>
      </c>
      <c r="C14" s="16">
        <f>44135912/(4*1000)</f>
        <v>11033.977999999999</v>
      </c>
      <c r="D14" s="16">
        <f t="shared" ref="D14:F14" si="3">44135912/(4*1000)</f>
        <v>11033.977999999999</v>
      </c>
      <c r="E14" s="16">
        <f t="shared" si="3"/>
        <v>11033.977999999999</v>
      </c>
      <c r="F14" s="16">
        <f t="shared" si="3"/>
        <v>11033.977999999999</v>
      </c>
      <c r="G14" s="47">
        <f t="shared" si="1"/>
        <v>44135.911999999997</v>
      </c>
      <c r="H14" s="45">
        <f>(11033978+11033978+11033978+11033978)/1000</f>
        <v>44135.911999999997</v>
      </c>
      <c r="J14" s="71"/>
      <c r="K14" s="71"/>
    </row>
    <row r="15" spans="2:11" ht="16" customHeight="1" x14ac:dyDescent="0.15">
      <c r="B15" s="7">
        <f>'350 MW AP'!B18</f>
        <v>45078</v>
      </c>
      <c r="C15" s="16">
        <f>39205480/(4*1000)</f>
        <v>9801.3700000000008</v>
      </c>
      <c r="D15" s="16">
        <f t="shared" ref="D15:F15" si="4">39205480/(4*1000)</f>
        <v>9801.3700000000008</v>
      </c>
      <c r="E15" s="16">
        <f t="shared" si="4"/>
        <v>9801.3700000000008</v>
      </c>
      <c r="F15" s="16">
        <f t="shared" si="4"/>
        <v>9801.3700000000008</v>
      </c>
      <c r="G15" s="47">
        <f t="shared" si="1"/>
        <v>39205.480000000003</v>
      </c>
      <c r="H15" s="46">
        <f>(9801370+9801370+9801370+9801370)/1000</f>
        <v>39205.480000000003</v>
      </c>
      <c r="J15" s="71"/>
      <c r="K15" s="71"/>
    </row>
    <row r="16" spans="2:11" ht="16" customHeight="1" x14ac:dyDescent="0.15">
      <c r="B16" s="7">
        <f>'350 MW AP'!B19</f>
        <v>45108</v>
      </c>
      <c r="C16" s="16">
        <f>32810438/(4*1000)</f>
        <v>8202.6095000000005</v>
      </c>
      <c r="D16" s="16">
        <f t="shared" ref="D16:F16" si="5">32810438/(4*1000)</f>
        <v>8202.6095000000005</v>
      </c>
      <c r="E16" s="16">
        <f t="shared" si="5"/>
        <v>8202.6095000000005</v>
      </c>
      <c r="F16" s="16">
        <f t="shared" si="5"/>
        <v>8202.6095000000005</v>
      </c>
      <c r="G16" s="47">
        <f t="shared" si="1"/>
        <v>32810.438000000002</v>
      </c>
      <c r="H16" s="46">
        <f>(8202610+8202610+8202610+8202610)/1000</f>
        <v>32810.44</v>
      </c>
      <c r="J16" s="71"/>
      <c r="K16" s="71"/>
    </row>
    <row r="17" spans="2:11" ht="16" customHeight="1" x14ac:dyDescent="0.15">
      <c r="B17" s="7">
        <f>'350 MW AP'!B20</f>
        <v>45139</v>
      </c>
      <c r="C17" s="16">
        <f>39295465/(4*1000)</f>
        <v>9823.8662499999991</v>
      </c>
      <c r="D17" s="16">
        <f>39295465/(4*1000)</f>
        <v>9823.8662499999991</v>
      </c>
      <c r="E17" s="16">
        <f>39295465/(4*1000)</f>
        <v>9823.8662499999991</v>
      </c>
      <c r="F17" s="16">
        <f>39295465/(4*1000)</f>
        <v>9823.8662499999991</v>
      </c>
      <c r="G17" s="47">
        <f t="shared" si="1"/>
        <v>39295.464999999997</v>
      </c>
      <c r="H17" s="46">
        <f>(9823866+9823866+9823866+9823866)/1000</f>
        <v>39295.464</v>
      </c>
      <c r="J17" s="71"/>
      <c r="K17" s="71"/>
    </row>
    <row r="18" spans="2:11" ht="16" customHeight="1" x14ac:dyDescent="0.15">
      <c r="B18" s="17" t="s">
        <v>5</v>
      </c>
      <c r="C18" s="18">
        <f t="shared" ref="C18:H18" si="6">SUM(C11:C17)</f>
        <v>71050.646249999991</v>
      </c>
      <c r="D18" s="18">
        <f t="shared" si="6"/>
        <v>71050.646249999991</v>
      </c>
      <c r="E18" s="18">
        <f t="shared" si="6"/>
        <v>71050.646249999991</v>
      </c>
      <c r="F18" s="18">
        <f t="shared" si="6"/>
        <v>71050.646249999991</v>
      </c>
      <c r="G18" s="18">
        <f t="shared" si="6"/>
        <v>284202.58499999996</v>
      </c>
      <c r="H18" s="48">
        <f t="shared" si="6"/>
        <v>288847.96400000004</v>
      </c>
      <c r="K18" s="71"/>
    </row>
    <row r="21" spans="2:11" ht="16" customHeight="1" x14ac:dyDescent="0.15">
      <c r="B21" s="77" t="s">
        <v>78</v>
      </c>
      <c r="C21" s="75">
        <f>394200000/1000</f>
        <v>394200</v>
      </c>
    </row>
    <row r="22" spans="2:11" ht="16" customHeight="1" x14ac:dyDescent="0.15">
      <c r="B22" s="40" t="s">
        <v>75</v>
      </c>
      <c r="C22" s="13">
        <f>G18</f>
        <v>284202.58499999996</v>
      </c>
    </row>
    <row r="23" spans="2:11" ht="16" customHeight="1" x14ac:dyDescent="0.15">
      <c r="B23" s="40" t="s">
        <v>15</v>
      </c>
      <c r="C23" s="13">
        <f>C22</f>
        <v>284202.58499999996</v>
      </c>
    </row>
    <row r="24" spans="2:11" ht="16" customHeight="1" x14ac:dyDescent="0.15">
      <c r="B24" s="40" t="s">
        <v>17</v>
      </c>
      <c r="C24" s="4">
        <v>0.94750000000000001</v>
      </c>
    </row>
    <row r="25" spans="2:11" ht="17.5" customHeight="1" x14ac:dyDescent="0.15">
      <c r="B25" s="40" t="s">
        <v>18</v>
      </c>
      <c r="C25" s="76">
        <f>ROUNDDOWN(C23*C24,0)</f>
        <v>269281</v>
      </c>
    </row>
    <row r="26" spans="2:11" ht="29.5" customHeight="1" x14ac:dyDescent="0.15">
      <c r="B26" s="77" t="s">
        <v>76</v>
      </c>
      <c r="C26" s="73">
        <f>C21/(200*24*365)*100</f>
        <v>22.5</v>
      </c>
    </row>
    <row r="27" spans="2:11" ht="16" customHeight="1" x14ac:dyDescent="0.15">
      <c r="B27" s="77" t="s">
        <v>77</v>
      </c>
      <c r="C27" s="73">
        <f>C22/(200*24*212)*100</f>
        <v>27.928713148584901</v>
      </c>
    </row>
    <row r="28" spans="2:11" ht="16" customHeight="1" x14ac:dyDescent="0.15">
      <c r="B28" s="74" t="s">
        <v>79</v>
      </c>
      <c r="C28" s="73">
        <f>((C27/C26)-1)*100</f>
        <v>24.127613993710661</v>
      </c>
    </row>
    <row r="29" spans="2:11" ht="16" customHeight="1" x14ac:dyDescent="0.15">
      <c r="D29" s="71"/>
    </row>
    <row r="30" spans="2:11" ht="16" customHeight="1" x14ac:dyDescent="0.15">
      <c r="C30" s="72"/>
      <c r="D30" s="72"/>
    </row>
    <row r="31" spans="2:11" ht="16" customHeight="1" x14ac:dyDescent="0.15">
      <c r="B31" s="111" t="s">
        <v>88</v>
      </c>
      <c r="C31" s="111"/>
    </row>
    <row r="32" spans="2:11" ht="16" customHeight="1" x14ac:dyDescent="0.15">
      <c r="B32" s="87" t="s">
        <v>89</v>
      </c>
      <c r="C32" s="85">
        <v>0.38090000000000002</v>
      </c>
    </row>
    <row r="33" spans="2:6" ht="16" customHeight="1" x14ac:dyDescent="0.15">
      <c r="B33" s="87" t="s">
        <v>90</v>
      </c>
      <c r="C33" s="85">
        <v>0.22500000000000001</v>
      </c>
    </row>
    <row r="34" spans="2:6" ht="16" customHeight="1" x14ac:dyDescent="0.15">
      <c r="B34" s="87" t="s">
        <v>91</v>
      </c>
      <c r="C34" s="85">
        <f>C33+(C32*C33)</f>
        <v>0.31070249999999999</v>
      </c>
    </row>
    <row r="35" spans="2:6" ht="16" customHeight="1" x14ac:dyDescent="0.15">
      <c r="B35" s="87" t="s">
        <v>92</v>
      </c>
      <c r="C35" s="84">
        <f>C27</f>
        <v>27.928713148584901</v>
      </c>
    </row>
    <row r="36" spans="2:6" ht="16" customHeight="1" x14ac:dyDescent="0.15">
      <c r="B36" s="83" t="s">
        <v>79</v>
      </c>
      <c r="C36" s="84">
        <f>C28</f>
        <v>24.127613993710661</v>
      </c>
    </row>
    <row r="39" spans="2:6" ht="16" customHeight="1" x14ac:dyDescent="0.15">
      <c r="B39" s="112" t="s">
        <v>94</v>
      </c>
      <c r="C39" s="112"/>
      <c r="D39" s="112"/>
      <c r="E39" s="112"/>
      <c r="F39" s="112"/>
    </row>
    <row r="40" spans="2:6" ht="16" customHeight="1" x14ac:dyDescent="0.15">
      <c r="B40" s="112"/>
      <c r="C40" s="112"/>
      <c r="D40" s="112"/>
      <c r="E40" s="112"/>
      <c r="F40" s="112"/>
    </row>
    <row r="41" spans="2:6" ht="16" customHeight="1" x14ac:dyDescent="0.15">
      <c r="B41" s="112"/>
      <c r="C41" s="112"/>
      <c r="D41" s="112"/>
      <c r="E41" s="112"/>
      <c r="F41" s="112"/>
    </row>
  </sheetData>
  <mergeCells count="9">
    <mergeCell ref="B31:C31"/>
    <mergeCell ref="B39:F41"/>
    <mergeCell ref="B9:C9"/>
    <mergeCell ref="C2:H2"/>
    <mergeCell ref="C3:H3"/>
    <mergeCell ref="C4:H4"/>
    <mergeCell ref="C5:H5"/>
    <mergeCell ref="C6:H6"/>
    <mergeCell ref="C7:H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58E1D-91ED-4068-94CE-AC2147DD2D35}">
  <dimension ref="B2:H38"/>
  <sheetViews>
    <sheetView topLeftCell="A19" zoomScale="139" zoomScaleNormal="100" workbookViewId="0">
      <selection activeCell="K30" sqref="K30"/>
    </sheetView>
  </sheetViews>
  <sheetFormatPr baseColWidth="10" defaultColWidth="9.1640625" defaultRowHeight="16" customHeight="1" x14ac:dyDescent="0.15"/>
  <cols>
    <col min="1" max="1" width="3.33203125" style="1" customWidth="1"/>
    <col min="2" max="2" width="30.1640625" style="1" customWidth="1"/>
    <col min="3" max="3" width="17.5" style="1" customWidth="1"/>
    <col min="4" max="4" width="17" style="1" customWidth="1"/>
    <col min="5" max="7" width="9.1640625" style="1"/>
    <col min="8" max="8" width="19.5" style="1" customWidth="1"/>
    <col min="9" max="16384" width="9.1640625" style="1"/>
  </cols>
  <sheetData>
    <row r="2" spans="2:8" ht="16" customHeight="1" x14ac:dyDescent="0.15">
      <c r="B2" s="14" t="s">
        <v>11</v>
      </c>
      <c r="C2" s="92">
        <f>'ER Cal -Summary'!$C$1</f>
        <v>1805</v>
      </c>
      <c r="D2" s="92"/>
      <c r="E2" s="92"/>
      <c r="F2" s="92"/>
      <c r="G2" s="92"/>
      <c r="H2" s="92"/>
    </row>
    <row r="3" spans="2:8" ht="16" customHeight="1" x14ac:dyDescent="0.15">
      <c r="B3" s="14" t="s">
        <v>10</v>
      </c>
      <c r="C3" s="92" t="str">
        <f>'ER Cal -Summary'!$C$2</f>
        <v>Solar Energy Project(s) by SB Energy Private Limited</v>
      </c>
      <c r="D3" s="92"/>
      <c r="E3" s="92"/>
      <c r="F3" s="92"/>
      <c r="G3" s="92"/>
      <c r="H3" s="92"/>
    </row>
    <row r="4" spans="2:8" ht="16" customHeight="1" x14ac:dyDescent="0.15">
      <c r="B4" s="14" t="s">
        <v>26</v>
      </c>
      <c r="C4" s="92" t="str">
        <f>'ER Cal -Summary'!$C$3</f>
        <v>From 01-Feb-2023 to 31/08/2023 (Both days inclusive)</v>
      </c>
      <c r="D4" s="92"/>
      <c r="E4" s="92"/>
      <c r="F4" s="92"/>
      <c r="G4" s="92"/>
      <c r="H4" s="92"/>
    </row>
    <row r="5" spans="2:8" ht="16" customHeight="1" x14ac:dyDescent="0.15">
      <c r="B5" s="14" t="s">
        <v>27</v>
      </c>
      <c r="C5" s="92">
        <f>'ER Cal -Summary'!$C$4</f>
        <v>3</v>
      </c>
      <c r="D5" s="92"/>
      <c r="E5" s="92"/>
      <c r="F5" s="92"/>
      <c r="G5" s="92"/>
      <c r="H5" s="92"/>
    </row>
    <row r="6" spans="2:8" ht="16" customHeight="1" x14ac:dyDescent="0.15">
      <c r="B6" s="14" t="s">
        <v>28</v>
      </c>
      <c r="C6" s="94">
        <f>'ER Cal -Summary'!$C$5</f>
        <v>45348</v>
      </c>
      <c r="D6" s="115"/>
      <c r="E6" s="115"/>
      <c r="F6" s="115"/>
      <c r="G6" s="115"/>
      <c r="H6" s="115"/>
    </row>
    <row r="7" spans="2:8" ht="16" customHeight="1" x14ac:dyDescent="0.15">
      <c r="B7" s="14" t="s">
        <v>29</v>
      </c>
      <c r="C7" s="92" t="s">
        <v>45</v>
      </c>
      <c r="D7" s="92"/>
      <c r="E7" s="92"/>
      <c r="F7" s="92"/>
      <c r="G7" s="92"/>
      <c r="H7" s="92"/>
    </row>
    <row r="9" spans="2:8" ht="30.5" customHeight="1" x14ac:dyDescent="0.15">
      <c r="B9" s="2" t="s">
        <v>9</v>
      </c>
      <c r="C9" s="2" t="s">
        <v>50</v>
      </c>
      <c r="D9" s="2" t="s">
        <v>51</v>
      </c>
    </row>
    <row r="10" spans="2:8" ht="16" customHeight="1" x14ac:dyDescent="0.15">
      <c r="B10" s="20">
        <f>'350 MW AP'!B14</f>
        <v>44958</v>
      </c>
      <c r="C10" s="65">
        <f>51480893/1000</f>
        <v>51480.892999999996</v>
      </c>
      <c r="D10" s="65">
        <f>51480893/1000</f>
        <v>51480.892999999996</v>
      </c>
    </row>
    <row r="11" spans="2:8" ht="16" customHeight="1" x14ac:dyDescent="0.15">
      <c r="B11" s="20">
        <f>'350 MW AP'!B15</f>
        <v>45008</v>
      </c>
      <c r="C11" s="65">
        <f>55282905/1000</f>
        <v>55282.904999999999</v>
      </c>
      <c r="D11" s="65">
        <f>55282905/1000</f>
        <v>55282.904999999999</v>
      </c>
    </row>
    <row r="12" spans="2:8" ht="16" customHeight="1" x14ac:dyDescent="0.15">
      <c r="B12" s="20">
        <f>'350 MW AP'!B16</f>
        <v>45039</v>
      </c>
      <c r="C12" s="65">
        <f>54467917.5/1000</f>
        <v>54467.917500000003</v>
      </c>
      <c r="D12" s="65">
        <f>54467917.5/1000</f>
        <v>54467.917500000003</v>
      </c>
    </row>
    <row r="13" spans="2:8" ht="16" customHeight="1" x14ac:dyDescent="0.15">
      <c r="B13" s="20">
        <f>'350 MW AP'!B17</f>
        <v>45047</v>
      </c>
      <c r="C13" s="65">
        <f>54097265/1000</f>
        <v>54097.264999999999</v>
      </c>
      <c r="D13" s="65">
        <f>54097265/1000</f>
        <v>54097.264999999999</v>
      </c>
    </row>
    <row r="14" spans="2:8" ht="16" customHeight="1" x14ac:dyDescent="0.15">
      <c r="B14" s="20">
        <f>'350 MW AP'!B18</f>
        <v>45078</v>
      </c>
      <c r="C14" s="65">
        <f>51210942.5/1000</f>
        <v>51210.942499999997</v>
      </c>
      <c r="D14" s="65">
        <f>51210943/1000</f>
        <v>51210.942999999999</v>
      </c>
    </row>
    <row r="15" spans="2:8" ht="16" customHeight="1" x14ac:dyDescent="0.15">
      <c r="B15" s="20">
        <f>'350 MW AP'!B19</f>
        <v>45108</v>
      </c>
      <c r="C15" s="65">
        <f>44664025/1000</f>
        <v>44664.025000000001</v>
      </c>
      <c r="D15" s="65">
        <f>44664025/1000</f>
        <v>44664.025000000001</v>
      </c>
    </row>
    <row r="16" spans="2:8" ht="16" customHeight="1" x14ac:dyDescent="0.15">
      <c r="B16" s="20">
        <f>'350 MW AP'!B20</f>
        <v>45139</v>
      </c>
      <c r="C16" s="65">
        <f>51679917.5/1000</f>
        <v>51679.917500000003</v>
      </c>
      <c r="D16" s="65">
        <f>51679918/1000</f>
        <v>51679.917999999998</v>
      </c>
    </row>
    <row r="17" spans="2:4" ht="16" customHeight="1" x14ac:dyDescent="0.15">
      <c r="B17" s="3" t="s">
        <v>5</v>
      </c>
      <c r="C17" s="66">
        <f>SUM(C10:C16)</f>
        <v>362883.86550000001</v>
      </c>
      <c r="D17" s="66">
        <f>SUM(D10:D16)</f>
        <v>362883.86650000006</v>
      </c>
    </row>
    <row r="19" spans="2:4" ht="26.5" customHeight="1" x14ac:dyDescent="0.15">
      <c r="B19" s="77" t="s">
        <v>78</v>
      </c>
      <c r="C19" s="45">
        <f>536550000/1000</f>
        <v>536550</v>
      </c>
    </row>
    <row r="20" spans="2:4" ht="16" customHeight="1" x14ac:dyDescent="0.15">
      <c r="B20" s="19" t="s">
        <v>52</v>
      </c>
      <c r="C20" s="13">
        <f>C17</f>
        <v>362883.86550000001</v>
      </c>
    </row>
    <row r="21" spans="2:4" ht="16" customHeight="1" x14ac:dyDescent="0.15">
      <c r="B21" s="19" t="s">
        <v>15</v>
      </c>
      <c r="C21" s="8">
        <f>C20</f>
        <v>362883.86550000001</v>
      </c>
    </row>
    <row r="22" spans="2:4" ht="16" customHeight="1" x14ac:dyDescent="0.15">
      <c r="B22" s="19" t="s">
        <v>17</v>
      </c>
      <c r="C22" s="4">
        <v>0.94750000000000001</v>
      </c>
    </row>
    <row r="23" spans="2:4" ht="16" customHeight="1" x14ac:dyDescent="0.15">
      <c r="B23" s="19" t="s">
        <v>18</v>
      </c>
      <c r="C23" s="76">
        <f>ROUNDDOWN(C21*C22,0)</f>
        <v>343832</v>
      </c>
    </row>
    <row r="24" spans="2:4" ht="25.75" customHeight="1" x14ac:dyDescent="0.15">
      <c r="B24" s="79" t="s">
        <v>76</v>
      </c>
      <c r="C24" s="45">
        <f>C19/(250*24*365)*100</f>
        <v>24.5</v>
      </c>
    </row>
    <row r="25" spans="2:4" ht="16" customHeight="1" x14ac:dyDescent="0.15">
      <c r="B25" s="79" t="s">
        <v>77</v>
      </c>
      <c r="C25" s="73">
        <f>C20/(250*24*221)*100</f>
        <v>27.366807352941176</v>
      </c>
    </row>
    <row r="26" spans="2:4" ht="16" customHeight="1" x14ac:dyDescent="0.15">
      <c r="B26" s="80" t="s">
        <v>79</v>
      </c>
      <c r="C26" s="73">
        <f>((C25/C24)-1)*100</f>
        <v>11.701254501800729</v>
      </c>
    </row>
    <row r="29" spans="2:4" ht="16" customHeight="1" x14ac:dyDescent="0.15">
      <c r="B29" s="111" t="s">
        <v>88</v>
      </c>
      <c r="C29" s="111"/>
    </row>
    <row r="30" spans="2:4" ht="16" customHeight="1" x14ac:dyDescent="0.15">
      <c r="B30" s="87" t="s">
        <v>89</v>
      </c>
      <c r="C30" s="85">
        <v>0.31630000000000003</v>
      </c>
    </row>
    <row r="31" spans="2:4" ht="16" customHeight="1" x14ac:dyDescent="0.15">
      <c r="B31" s="87" t="s">
        <v>90</v>
      </c>
      <c r="C31" s="85">
        <v>0.215</v>
      </c>
    </row>
    <row r="32" spans="2:4" ht="16" customHeight="1" x14ac:dyDescent="0.15">
      <c r="B32" s="87" t="s">
        <v>91</v>
      </c>
      <c r="C32" s="85">
        <f>C31+(C30*C31)</f>
        <v>0.28300449999999999</v>
      </c>
    </row>
    <row r="33" spans="2:6" ht="16" customHeight="1" x14ac:dyDescent="0.15">
      <c r="B33" s="87" t="s">
        <v>92</v>
      </c>
      <c r="C33" s="84">
        <f>C25</f>
        <v>27.366807352941176</v>
      </c>
    </row>
    <row r="34" spans="2:6" ht="16" customHeight="1" x14ac:dyDescent="0.15">
      <c r="B34" s="83" t="s">
        <v>79</v>
      </c>
      <c r="C34" s="84">
        <f>C26</f>
        <v>11.701254501800729</v>
      </c>
    </row>
    <row r="36" spans="2:6" ht="16" customHeight="1" x14ac:dyDescent="0.15">
      <c r="B36" s="112" t="s">
        <v>95</v>
      </c>
      <c r="C36" s="112"/>
      <c r="D36" s="112"/>
      <c r="E36" s="112"/>
      <c r="F36" s="112"/>
    </row>
    <row r="37" spans="2:6" ht="16" customHeight="1" x14ac:dyDescent="0.15">
      <c r="B37" s="112"/>
      <c r="C37" s="112"/>
      <c r="D37" s="112"/>
      <c r="E37" s="112"/>
      <c r="F37" s="112"/>
    </row>
    <row r="38" spans="2:6" ht="16" customHeight="1" x14ac:dyDescent="0.15">
      <c r="B38" s="112"/>
      <c r="C38" s="112"/>
      <c r="D38" s="112"/>
      <c r="E38" s="112"/>
      <c r="F38" s="112"/>
    </row>
  </sheetData>
  <mergeCells count="8">
    <mergeCell ref="B29:C29"/>
    <mergeCell ref="B36:F38"/>
    <mergeCell ref="C7:H7"/>
    <mergeCell ref="C2:H2"/>
    <mergeCell ref="C3:H3"/>
    <mergeCell ref="C4:H4"/>
    <mergeCell ref="C5:H5"/>
    <mergeCell ref="C6:H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FC991-99D3-441C-A493-5D45C6F0E97A}">
  <dimension ref="B2:G40"/>
  <sheetViews>
    <sheetView topLeftCell="A20" zoomScale="143" zoomScaleNormal="130" workbookViewId="0">
      <selection activeCell="L35" sqref="L35"/>
    </sheetView>
  </sheetViews>
  <sheetFormatPr baseColWidth="10" defaultColWidth="9.1640625" defaultRowHeight="16" customHeight="1" x14ac:dyDescent="0.15"/>
  <cols>
    <col min="1" max="1" width="4.5" style="1" customWidth="1"/>
    <col min="2" max="2" width="35.5" style="1" customWidth="1"/>
    <col min="3" max="3" width="18" style="1" customWidth="1"/>
    <col min="4" max="4" width="17.33203125" style="1" customWidth="1"/>
    <col min="5" max="5" width="16.5" style="1" customWidth="1"/>
    <col min="6" max="6" width="14.33203125" style="1" customWidth="1"/>
    <col min="7" max="7" width="16.83203125" style="1" customWidth="1"/>
    <col min="8" max="16384" width="9.1640625" style="1"/>
  </cols>
  <sheetData>
    <row r="2" spans="2:7" ht="16" customHeight="1" x14ac:dyDescent="0.15">
      <c r="B2" s="14" t="s">
        <v>11</v>
      </c>
      <c r="C2" s="92">
        <f>'ER Cal -Summary'!$C$1</f>
        <v>1805</v>
      </c>
      <c r="D2" s="92"/>
      <c r="E2" s="92"/>
      <c r="F2" s="92"/>
      <c r="G2" s="92"/>
    </row>
    <row r="3" spans="2:7" ht="16" customHeight="1" x14ac:dyDescent="0.15">
      <c r="B3" s="14" t="s">
        <v>10</v>
      </c>
      <c r="C3" s="92" t="str">
        <f>'ER Cal -Summary'!$C$2</f>
        <v>Solar Energy Project(s) by SB Energy Private Limited</v>
      </c>
      <c r="D3" s="92"/>
      <c r="E3" s="92"/>
      <c r="F3" s="92"/>
      <c r="G3" s="92"/>
    </row>
    <row r="4" spans="2:7" ht="16" customHeight="1" x14ac:dyDescent="0.15">
      <c r="B4" s="14" t="s">
        <v>26</v>
      </c>
      <c r="C4" s="92" t="str">
        <f>'ER Cal -Summary'!$C$3</f>
        <v>From 01-Feb-2023 to 31/08/2023 (Both days inclusive)</v>
      </c>
      <c r="D4" s="92"/>
      <c r="E4" s="92"/>
      <c r="F4" s="92"/>
      <c r="G4" s="92"/>
    </row>
    <row r="5" spans="2:7" ht="16" customHeight="1" x14ac:dyDescent="0.15">
      <c r="B5" s="14" t="s">
        <v>27</v>
      </c>
      <c r="C5" s="92">
        <f>'ER Cal -Summary'!$C$4</f>
        <v>3</v>
      </c>
      <c r="D5" s="92"/>
      <c r="E5" s="92"/>
      <c r="F5" s="92"/>
      <c r="G5" s="92"/>
    </row>
    <row r="6" spans="2:7" ht="16" customHeight="1" x14ac:dyDescent="0.15">
      <c r="B6" s="14" t="s">
        <v>28</v>
      </c>
      <c r="C6" s="94">
        <v>45348</v>
      </c>
      <c r="D6" s="115"/>
      <c r="E6" s="115"/>
      <c r="F6" s="115"/>
      <c r="G6" s="118"/>
    </row>
    <row r="7" spans="2:7" ht="16" customHeight="1" x14ac:dyDescent="0.15">
      <c r="B7" s="14" t="s">
        <v>29</v>
      </c>
      <c r="C7" s="92" t="s">
        <v>46</v>
      </c>
      <c r="D7" s="92"/>
      <c r="E7" s="92"/>
      <c r="F7" s="92"/>
      <c r="G7" s="92"/>
    </row>
    <row r="8" spans="2:7" ht="8.25" customHeight="1" x14ac:dyDescent="0.15"/>
    <row r="9" spans="2:7" ht="25.5" customHeight="1" x14ac:dyDescent="0.15">
      <c r="B9" s="6" t="s">
        <v>9</v>
      </c>
      <c r="C9" s="2" t="s">
        <v>57</v>
      </c>
      <c r="D9" s="2" t="s">
        <v>51</v>
      </c>
      <c r="E9" s="2" t="s">
        <v>65</v>
      </c>
      <c r="F9" s="2" t="s">
        <v>51</v>
      </c>
    </row>
    <row r="10" spans="2:7" ht="16" customHeight="1" x14ac:dyDescent="0.15">
      <c r="B10" s="7">
        <f>'350 MW AP'!B14</f>
        <v>44958</v>
      </c>
      <c r="C10" s="35">
        <f>28384218/1000</f>
        <v>28384.218000000001</v>
      </c>
      <c r="D10" s="35">
        <f>28384218/1000</f>
        <v>28384.218000000001</v>
      </c>
      <c r="E10" s="35">
        <f>33320608/1000</f>
        <v>33320.608</v>
      </c>
      <c r="F10" s="35">
        <f>33320608/1000</f>
        <v>33320.608</v>
      </c>
    </row>
    <row r="11" spans="2:7" ht="16" customHeight="1" x14ac:dyDescent="0.15">
      <c r="B11" s="7">
        <f>'350 MW AP'!B15</f>
        <v>45008</v>
      </c>
      <c r="C11" s="35">
        <f>30954768/1000</f>
        <v>30954.768</v>
      </c>
      <c r="D11" s="35">
        <f>30954768/1000</f>
        <v>30954.768</v>
      </c>
      <c r="E11" s="35">
        <f>36337215/1000</f>
        <v>36337.214999999997</v>
      </c>
      <c r="F11" s="35">
        <f>36337215/1000</f>
        <v>36337.214999999997</v>
      </c>
    </row>
    <row r="12" spans="2:7" ht="16" customHeight="1" x14ac:dyDescent="0.15">
      <c r="B12" s="7">
        <f>'350 MW AP'!B16</f>
        <v>45039</v>
      </c>
      <c r="C12" s="35">
        <f>31312532/1000</f>
        <v>31312.531999999999</v>
      </c>
      <c r="D12" s="35">
        <f>31312532/1000</f>
        <v>31312.531999999999</v>
      </c>
      <c r="E12" s="61">
        <f>3675819/1000</f>
        <v>3675.819</v>
      </c>
      <c r="F12" s="62">
        <f>36758190/1000</f>
        <v>36758.19</v>
      </c>
    </row>
    <row r="13" spans="2:7" ht="16" customHeight="1" x14ac:dyDescent="0.15">
      <c r="B13" s="7">
        <f>'350 MW AP'!B17</f>
        <v>45047</v>
      </c>
      <c r="C13" s="35">
        <f>29009815/1000</f>
        <v>29009.814999999999</v>
      </c>
      <c r="D13" s="35">
        <f>29009815/1000</f>
        <v>29009.814999999999</v>
      </c>
      <c r="E13" s="35">
        <f>34054982/1000</f>
        <v>34054.982000000004</v>
      </c>
      <c r="F13" s="35">
        <f>34054982/1000</f>
        <v>34054.982000000004</v>
      </c>
    </row>
    <row r="14" spans="2:7" ht="16" customHeight="1" x14ac:dyDescent="0.15">
      <c r="B14" s="7">
        <f>'350 MW AP'!B18</f>
        <v>45078</v>
      </c>
      <c r="C14" s="35">
        <f>22468158/1000</f>
        <v>22468.157999999999</v>
      </c>
      <c r="D14" s="35">
        <f>22468158/1000</f>
        <v>22468.157999999999</v>
      </c>
      <c r="E14" s="35">
        <f>26375645/1000</f>
        <v>26375.645</v>
      </c>
      <c r="F14" s="35">
        <f>26375645/1000</f>
        <v>26375.645</v>
      </c>
    </row>
    <row r="15" spans="2:7" ht="16" customHeight="1" x14ac:dyDescent="0.15">
      <c r="B15" s="7">
        <f>'350 MW AP'!B19</f>
        <v>45108</v>
      </c>
      <c r="C15" s="35">
        <f>28779228/1000</f>
        <v>28779.227999999999</v>
      </c>
      <c r="D15" s="35">
        <f>28779228/1000</f>
        <v>28779.227999999999</v>
      </c>
      <c r="E15" s="35">
        <f>33784308/1000</f>
        <v>33784.307999999997</v>
      </c>
      <c r="F15" s="35">
        <f>33784308/1000</f>
        <v>33784.307999999997</v>
      </c>
    </row>
    <row r="16" spans="2:7" ht="16" customHeight="1" x14ac:dyDescent="0.15">
      <c r="B16" s="7">
        <f>'350 MW AP'!B20</f>
        <v>45139</v>
      </c>
      <c r="C16" s="62">
        <f>29729570/1000</f>
        <v>29729.57</v>
      </c>
      <c r="D16" s="62">
        <f>29729570/1000</f>
        <v>29729.57</v>
      </c>
      <c r="E16" s="62">
        <f>34899930/1000</f>
        <v>34899.93</v>
      </c>
      <c r="F16" s="62">
        <f>34899930/1000</f>
        <v>34899.93</v>
      </c>
    </row>
    <row r="17" spans="2:6" ht="16" customHeight="1" x14ac:dyDescent="0.15">
      <c r="B17" s="3" t="s">
        <v>5</v>
      </c>
      <c r="C17" s="64">
        <f>SUM(C10:C16)</f>
        <v>200638.28900000002</v>
      </c>
      <c r="D17" s="63">
        <f>SUM(D10:D16)</f>
        <v>200638.28900000002</v>
      </c>
      <c r="E17" s="63">
        <f>SUM(E10:E16)</f>
        <v>202448.50699999998</v>
      </c>
      <c r="F17" s="63">
        <f>SUM(F10:F16)</f>
        <v>235530.87799999997</v>
      </c>
    </row>
    <row r="19" spans="2:6" ht="16" customHeight="1" x14ac:dyDescent="0.15">
      <c r="B19" s="74" t="s">
        <v>78</v>
      </c>
      <c r="C19" s="45">
        <f>(1261440000/1000)/2</f>
        <v>630720</v>
      </c>
    </row>
    <row r="20" spans="2:6" ht="16" customHeight="1" x14ac:dyDescent="0.15">
      <c r="B20" s="19" t="s">
        <v>75</v>
      </c>
      <c r="C20" s="13">
        <f>C17+E17</f>
        <v>403086.79599999997</v>
      </c>
    </row>
    <row r="21" spans="2:6" ht="16" customHeight="1" x14ac:dyDescent="0.15">
      <c r="B21" s="19" t="s">
        <v>15</v>
      </c>
      <c r="C21" s="5">
        <f>C20</f>
        <v>403086.79599999997</v>
      </c>
    </row>
    <row r="22" spans="2:6" ht="16" customHeight="1" x14ac:dyDescent="0.15">
      <c r="B22" s="19" t="s">
        <v>17</v>
      </c>
      <c r="C22" s="4">
        <v>0.94750000000000001</v>
      </c>
    </row>
    <row r="23" spans="2:6" ht="16" customHeight="1" x14ac:dyDescent="0.15">
      <c r="B23" s="19" t="s">
        <v>18</v>
      </c>
      <c r="C23" s="76">
        <f>ROUNDDOWN(C21*C22,0)</f>
        <v>381924</v>
      </c>
    </row>
    <row r="24" spans="2:6" ht="33.5" customHeight="1" x14ac:dyDescent="0.15">
      <c r="B24" s="79" t="s">
        <v>76</v>
      </c>
      <c r="C24" s="45">
        <f>C19/(300*24*365)*100</f>
        <v>24</v>
      </c>
    </row>
    <row r="25" spans="2:6" ht="16" customHeight="1" x14ac:dyDescent="0.15">
      <c r="B25" s="79" t="s">
        <v>77</v>
      </c>
      <c r="C25" s="73">
        <f>C20/(300*24*212)*100</f>
        <v>26.407677935010483</v>
      </c>
    </row>
    <row r="26" spans="2:6" ht="16" customHeight="1" x14ac:dyDescent="0.15">
      <c r="B26" s="80" t="s">
        <v>79</v>
      </c>
      <c r="C26" s="73">
        <f>((C25/C24)-1)*100</f>
        <v>10.031991395877004</v>
      </c>
    </row>
    <row r="29" spans="2:6" ht="16" customHeight="1" x14ac:dyDescent="0.15">
      <c r="B29" s="116" t="s">
        <v>88</v>
      </c>
      <c r="C29" s="117"/>
    </row>
    <row r="30" spans="2:6" ht="16" customHeight="1" x14ac:dyDescent="0.15">
      <c r="B30" s="87" t="s">
        <v>89</v>
      </c>
      <c r="C30" s="85">
        <v>0.86170000000000002</v>
      </c>
    </row>
    <row r="31" spans="2:6" ht="16" customHeight="1" x14ac:dyDescent="0.15">
      <c r="B31" s="87" t="s">
        <v>90</v>
      </c>
      <c r="C31" s="86">
        <v>0.24</v>
      </c>
    </row>
    <row r="32" spans="2:6" ht="16" customHeight="1" x14ac:dyDescent="0.15">
      <c r="B32" s="87" t="s">
        <v>91</v>
      </c>
      <c r="C32" s="85">
        <f>C31+(C30*C31)</f>
        <v>0.44680799999999998</v>
      </c>
    </row>
    <row r="33" spans="2:6" ht="16" customHeight="1" x14ac:dyDescent="0.15">
      <c r="B33" s="87" t="s">
        <v>92</v>
      </c>
      <c r="C33" s="84">
        <f>C25</f>
        <v>26.407677935010483</v>
      </c>
    </row>
    <row r="34" spans="2:6" ht="16" customHeight="1" x14ac:dyDescent="0.15">
      <c r="B34" s="83" t="s">
        <v>79</v>
      </c>
      <c r="C34" s="84">
        <f>C26</f>
        <v>10.031991395877004</v>
      </c>
    </row>
    <row r="38" spans="2:6" ht="16" customHeight="1" x14ac:dyDescent="0.15">
      <c r="B38" s="112" t="s">
        <v>96</v>
      </c>
      <c r="C38" s="112"/>
      <c r="D38" s="112"/>
      <c r="E38" s="112"/>
      <c r="F38" s="112"/>
    </row>
    <row r="39" spans="2:6" ht="16" customHeight="1" x14ac:dyDescent="0.15">
      <c r="B39" s="112"/>
      <c r="C39" s="112"/>
      <c r="D39" s="112"/>
      <c r="E39" s="112"/>
      <c r="F39" s="112"/>
    </row>
    <row r="40" spans="2:6" ht="16" customHeight="1" x14ac:dyDescent="0.15">
      <c r="B40" s="112"/>
      <c r="C40" s="112"/>
      <c r="D40" s="112"/>
      <c r="E40" s="112"/>
      <c r="F40" s="112"/>
    </row>
  </sheetData>
  <mergeCells count="8">
    <mergeCell ref="B29:C29"/>
    <mergeCell ref="B38:F40"/>
    <mergeCell ref="C7:G7"/>
    <mergeCell ref="C2:G2"/>
    <mergeCell ref="C3:G3"/>
    <mergeCell ref="C4:G4"/>
    <mergeCell ref="C5:G5"/>
    <mergeCell ref="C6:G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ER Cal -Summary</vt:lpstr>
      <vt:lpstr>350 MW AP</vt:lpstr>
      <vt:lpstr>200 MW Pavagadaa</vt:lpstr>
      <vt:lpstr>250 MW AP</vt:lpstr>
      <vt:lpstr>300 MW Phalodi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2024-02-28T09:29:06Z</dcterms:modified>
</cp:coreProperties>
</file>