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124226"/>
  <xr:revisionPtr revIDLastSave="0" documentId="13_ncr:1_{6A191BF8-775B-4B19-AC67-F2FB30A6EF3F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Actual ER" sheetId="18" r:id="rId1"/>
    <sheet name="Punjab" sheetId="6" r:id="rId2"/>
    <sheet name="AP" sheetId="9" r:id="rId3"/>
    <sheet name="CG" sheetId="5" r:id="rId4"/>
    <sheet name="Telangana" sheetId="15" r:id="rId5"/>
    <sheet name="Odisha" sheetId="4" r:id="rId6"/>
    <sheet name="Uttarakhand" sheetId="17" r:id="rId7"/>
    <sheet name="Apportioning" sheetId="19" r:id="rId8"/>
    <sheet name="SECI" sheetId="3" state="hidden" r:id="rId9"/>
    <sheet name="June Month Billing" sheetId="10" state="hidden" r:id="rId10"/>
    <sheet name="Bihar" sheetId="12" state="hidden" r:id="rId11"/>
  </sheets>
  <definedNames>
    <definedName name="_xlnm._FilterDatabase" localSheetId="1" hidden="1">Punjab!$B$3:$H$3</definedName>
    <definedName name="A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8" l="1"/>
  <c r="E31" i="18"/>
  <c r="E30" i="18"/>
  <c r="E29" i="18"/>
  <c r="E28" i="18"/>
  <c r="E27" i="18"/>
  <c r="E26" i="18"/>
  <c r="E25" i="18"/>
  <c r="E24" i="18"/>
  <c r="E23" i="18"/>
  <c r="E22" i="18"/>
  <c r="E21" i="18"/>
  <c r="E20" i="18"/>
  <c r="E18" i="17"/>
  <c r="E18" i="4"/>
  <c r="E39" i="15"/>
  <c r="E19" i="15"/>
  <c r="E18" i="5"/>
  <c r="E132" i="9"/>
  <c r="E110" i="9"/>
  <c r="F91" i="9"/>
  <c r="F90" i="9"/>
  <c r="F55" i="9"/>
  <c r="F54" i="9"/>
  <c r="E21" i="9"/>
  <c r="O19" i="6"/>
  <c r="J19" i="6"/>
  <c r="E19" i="6"/>
  <c r="F29" i="19"/>
  <c r="F24" i="19"/>
  <c r="C64" i="19"/>
  <c r="C59" i="19"/>
  <c r="C54" i="19"/>
  <c r="C49" i="19"/>
  <c r="C44" i="19"/>
  <c r="C39" i="19"/>
  <c r="C34" i="19"/>
  <c r="C29" i="19"/>
  <c r="C24" i="19"/>
  <c r="C19" i="19"/>
  <c r="C14" i="19"/>
  <c r="C9" i="19"/>
  <c r="C4" i="19" l="1"/>
  <c r="H15" i="18"/>
  <c r="H16" i="18" s="1"/>
  <c r="H9" i="18"/>
  <c r="H8" i="18"/>
  <c r="G15" i="18"/>
  <c r="G16" i="18" s="1"/>
  <c r="F15" i="18"/>
  <c r="F16" i="18" s="1"/>
  <c r="R15" i="6"/>
  <c r="H14" i="17"/>
  <c r="G14" i="17"/>
  <c r="G25" i="15"/>
  <c r="G131" i="9" l="1"/>
  <c r="B131" i="9"/>
  <c r="G118" i="9"/>
  <c r="G117" i="9"/>
  <c r="G119" i="9"/>
  <c r="G120" i="9"/>
  <c r="G121" i="9"/>
  <c r="G122" i="9"/>
  <c r="G123" i="9"/>
  <c r="G124" i="9"/>
  <c r="G125" i="9"/>
  <c r="G126" i="9"/>
  <c r="I92" i="9"/>
  <c r="I83" i="9"/>
  <c r="H66" i="9"/>
  <c r="H65" i="9"/>
  <c r="H59" i="9"/>
  <c r="H60" i="9"/>
  <c r="H61" i="9"/>
  <c r="H62" i="9"/>
  <c r="H63" i="9"/>
  <c r="H64" i="9"/>
  <c r="H67" i="9"/>
  <c r="H68" i="9"/>
  <c r="H69" i="9"/>
  <c r="H70" i="9"/>
  <c r="H71" i="9"/>
  <c r="H72" i="9"/>
  <c r="H73" i="9"/>
  <c r="H74" i="9"/>
  <c r="H75" i="9"/>
  <c r="H76" i="9"/>
  <c r="I56" i="9"/>
  <c r="I47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43" i="9"/>
  <c r="H16" i="9"/>
  <c r="G20" i="9"/>
  <c r="G13" i="9"/>
  <c r="G5" i="9"/>
  <c r="G6" i="9"/>
  <c r="H35" i="15"/>
  <c r="H15" i="15"/>
  <c r="G14" i="15"/>
  <c r="G13" i="15"/>
  <c r="G12" i="15"/>
  <c r="G11" i="15"/>
  <c r="G10" i="15"/>
  <c r="G9" i="15"/>
  <c r="G8" i="15"/>
  <c r="G7" i="15"/>
  <c r="G6" i="15"/>
  <c r="G5" i="15"/>
  <c r="G39" i="15"/>
  <c r="G38" i="15"/>
  <c r="G37" i="15"/>
  <c r="G36" i="15"/>
  <c r="G34" i="15"/>
  <c r="G33" i="15"/>
  <c r="G32" i="15"/>
  <c r="G31" i="15"/>
  <c r="G30" i="15"/>
  <c r="G29" i="15"/>
  <c r="G28" i="15"/>
  <c r="G27" i="15"/>
  <c r="G26" i="15"/>
  <c r="G24" i="15"/>
  <c r="G23" i="15"/>
  <c r="H127" i="9"/>
  <c r="H106" i="9"/>
  <c r="H133" i="9"/>
  <c r="H111" i="9"/>
  <c r="H22" i="9"/>
  <c r="H40" i="15"/>
  <c r="H20" i="15"/>
  <c r="G13" i="17"/>
  <c r="G12" i="17"/>
  <c r="G11" i="17"/>
  <c r="G10" i="17"/>
  <c r="G9" i="17"/>
  <c r="G8" i="17"/>
  <c r="G7" i="17"/>
  <c r="G6" i="17"/>
  <c r="G5" i="17"/>
  <c r="G4" i="17"/>
  <c r="G3" i="17"/>
  <c r="H19" i="17"/>
  <c r="H19" i="4"/>
  <c r="H14" i="4"/>
  <c r="M15" i="6"/>
  <c r="R20" i="6"/>
  <c r="M20" i="6"/>
  <c r="H20" i="6"/>
  <c r="H15" i="6"/>
  <c r="F19" i="5"/>
  <c r="F14" i="5"/>
  <c r="G40" i="15" l="1"/>
  <c r="G35" i="15"/>
  <c r="E19" i="5"/>
  <c r="G15" i="17"/>
  <c r="G16" i="17"/>
  <c r="G17" i="17"/>
  <c r="G18" i="17"/>
  <c r="G10" i="4"/>
  <c r="G11" i="4"/>
  <c r="G12" i="4"/>
  <c r="G13" i="4"/>
  <c r="G15" i="4"/>
  <c r="G16" i="4"/>
  <c r="G17" i="4"/>
  <c r="G18" i="4"/>
  <c r="G16" i="15"/>
  <c r="G17" i="15"/>
  <c r="G18" i="15"/>
  <c r="G19" i="15"/>
  <c r="G102" i="9"/>
  <c r="G103" i="9"/>
  <c r="G104" i="9"/>
  <c r="G105" i="9"/>
  <c r="G107" i="9"/>
  <c r="G108" i="9"/>
  <c r="G109" i="9"/>
  <c r="G110" i="9"/>
  <c r="G11" i="9"/>
  <c r="G12" i="9"/>
  <c r="G14" i="9"/>
  <c r="G15" i="9"/>
  <c r="G17" i="9"/>
  <c r="G18" i="9"/>
  <c r="G19" i="9"/>
  <c r="G21" i="9"/>
  <c r="Q14" i="6"/>
  <c r="Q13" i="6"/>
  <c r="Q12" i="6"/>
  <c r="Q11" i="6"/>
  <c r="Q10" i="6"/>
  <c r="Q9" i="6"/>
  <c r="Q8" i="6"/>
  <c r="Q7" i="6"/>
  <c r="Q6" i="6"/>
  <c r="Q5" i="6"/>
  <c r="Q4" i="6"/>
  <c r="L14" i="6"/>
  <c r="L13" i="6"/>
  <c r="L12" i="6"/>
  <c r="L11" i="6"/>
  <c r="L10" i="6"/>
  <c r="L9" i="6"/>
  <c r="L8" i="6"/>
  <c r="L7" i="6"/>
  <c r="L6" i="6"/>
  <c r="L5" i="6"/>
  <c r="L4" i="6"/>
  <c r="Q19" i="6"/>
  <c r="Q18" i="6"/>
  <c r="Q17" i="6"/>
  <c r="Q16" i="6"/>
  <c r="L18" i="6"/>
  <c r="L17" i="6"/>
  <c r="L16" i="6"/>
  <c r="G19" i="6"/>
  <c r="G18" i="6"/>
  <c r="G17" i="6"/>
  <c r="G16" i="6"/>
  <c r="G14" i="6"/>
  <c r="G13" i="6"/>
  <c r="G12" i="6"/>
  <c r="G11" i="6"/>
  <c r="L19" i="6"/>
  <c r="G132" i="9"/>
  <c r="G128" i="9"/>
  <c r="G129" i="9"/>
  <c r="G130" i="9"/>
  <c r="B102" i="9"/>
  <c r="B123" i="9" s="1"/>
  <c r="B103" i="9"/>
  <c r="B124" i="9" s="1"/>
  <c r="B104" i="9"/>
  <c r="B125" i="9" s="1"/>
  <c r="B105" i="9"/>
  <c r="B126" i="9" s="1"/>
  <c r="B107" i="9"/>
  <c r="B128" i="9" s="1"/>
  <c r="B108" i="9"/>
  <c r="B129" i="9" s="1"/>
  <c r="B109" i="9"/>
  <c r="B130" i="9" s="1"/>
  <c r="B110" i="9"/>
  <c r="B132" i="9" s="1"/>
  <c r="G111" i="9" l="1"/>
  <c r="G22" i="9"/>
  <c r="G133" i="9"/>
  <c r="G20" i="15"/>
  <c r="G19" i="17"/>
  <c r="G19" i="4"/>
  <c r="L15" i="6"/>
  <c r="G20" i="6"/>
  <c r="Q15" i="6"/>
  <c r="Q20" i="6"/>
  <c r="L20" i="6"/>
  <c r="B10" i="4"/>
  <c r="B11" i="4"/>
  <c r="B12" i="4"/>
  <c r="B13" i="4"/>
  <c r="B15" i="4"/>
  <c r="B16" i="4"/>
  <c r="B17" i="4"/>
  <c r="B18" i="4"/>
  <c r="B18" i="5"/>
  <c r="B17" i="5"/>
  <c r="B16" i="5"/>
  <c r="B15" i="5"/>
  <c r="B13" i="5"/>
  <c r="B12" i="5"/>
  <c r="B11" i="5"/>
  <c r="B10" i="5"/>
  <c r="G101" i="9" l="1"/>
  <c r="H79" i="9"/>
  <c r="G7" i="4" l="1"/>
  <c r="G7" i="6"/>
  <c r="G5" i="6"/>
  <c r="D33" i="18" l="1"/>
  <c r="E14" i="5" l="1"/>
  <c r="G3" i="4"/>
  <c r="G115" i="9"/>
  <c r="G116" i="9"/>
  <c r="G114" i="9"/>
  <c r="G96" i="9"/>
  <c r="G97" i="9"/>
  <c r="G98" i="9"/>
  <c r="G99" i="9"/>
  <c r="G100" i="9"/>
  <c r="H78" i="9"/>
  <c r="H80" i="9"/>
  <c r="H81" i="9"/>
  <c r="H82" i="9"/>
  <c r="H84" i="9"/>
  <c r="H85" i="9"/>
  <c r="H86" i="9"/>
  <c r="H89" i="9"/>
  <c r="H90" i="9"/>
  <c r="H91" i="9"/>
  <c r="H77" i="9"/>
  <c r="H26" i="9"/>
  <c r="H41" i="9"/>
  <c r="H42" i="9"/>
  <c r="H44" i="9"/>
  <c r="H45" i="9"/>
  <c r="H46" i="9"/>
  <c r="H48" i="9"/>
  <c r="H49" i="9"/>
  <c r="H50" i="9"/>
  <c r="H51" i="9"/>
  <c r="H52" i="9"/>
  <c r="H53" i="9"/>
  <c r="H54" i="9"/>
  <c r="H55" i="9"/>
  <c r="G4" i="9"/>
  <c r="G7" i="9"/>
  <c r="G8" i="9"/>
  <c r="G9" i="9"/>
  <c r="G10" i="9"/>
  <c r="G3" i="9"/>
  <c r="G6" i="6"/>
  <c r="G8" i="6"/>
  <c r="G9" i="6"/>
  <c r="G10" i="6"/>
  <c r="G95" i="9"/>
  <c r="H83" i="9" l="1"/>
  <c r="H56" i="9"/>
  <c r="G106" i="9"/>
  <c r="G16" i="9"/>
  <c r="G4" i="4" l="1"/>
  <c r="H87" i="9" l="1"/>
  <c r="H88" i="9" l="1"/>
  <c r="H92" i="9" s="1"/>
  <c r="G127" i="9"/>
  <c r="G5" i="18" l="1"/>
  <c r="G7" i="18" s="1"/>
  <c r="G10" i="18" s="1"/>
  <c r="G12" i="18" s="1"/>
  <c r="G17" i="18" s="1"/>
  <c r="B99" i="9"/>
  <c r="B120" i="9" s="1"/>
  <c r="H25" i="9"/>
  <c r="H47" i="9" s="1"/>
  <c r="B96" i="9"/>
  <c r="B115" i="9" s="1"/>
  <c r="B98" i="9"/>
  <c r="B119" i="9" s="1"/>
  <c r="B100" i="9"/>
  <c r="B121" i="9" s="1"/>
  <c r="B101" i="9"/>
  <c r="B122" i="9" s="1"/>
  <c r="B95" i="9" l="1"/>
  <c r="B114" i="9" s="1"/>
  <c r="B97" i="9"/>
  <c r="B118" i="9" s="1"/>
  <c r="B116" i="9" l="1"/>
  <c r="B117" i="9"/>
  <c r="G3" i="15" l="1"/>
  <c r="G4" i="15"/>
  <c r="G5" i="4"/>
  <c r="G6" i="4"/>
  <c r="G8" i="4"/>
  <c r="G9" i="4"/>
  <c r="G15" i="15" l="1"/>
  <c r="G14" i="4"/>
  <c r="B9" i="5"/>
  <c r="B8" i="5"/>
  <c r="B7" i="5"/>
  <c r="B6" i="5"/>
  <c r="B5" i="5"/>
  <c r="B4" i="5"/>
  <c r="B3" i="5"/>
  <c r="B9" i="4"/>
  <c r="B8" i="4"/>
  <c r="B7" i="4"/>
  <c r="B6" i="4"/>
  <c r="B5" i="4"/>
  <c r="B4" i="4"/>
  <c r="B3" i="4"/>
  <c r="G4" i="6" l="1"/>
  <c r="G15" i="6" s="1"/>
  <c r="E33" i="18" l="1"/>
  <c r="F5" i="18"/>
  <c r="D3" i="12"/>
  <c r="C3" i="12"/>
  <c r="E34" i="12"/>
  <c r="F34" i="12" s="1"/>
  <c r="E11" i="12"/>
  <c r="F11" i="12" s="1"/>
  <c r="E27" i="12"/>
  <c r="F27" i="12" s="1"/>
  <c r="E5" i="12"/>
  <c r="F5" i="12" s="1"/>
  <c r="F7" i="18" l="1"/>
  <c r="H5" i="18"/>
  <c r="E36" i="12"/>
  <c r="E13" i="12"/>
  <c r="E8" i="12"/>
  <c r="F8" i="12" s="1"/>
  <c r="E14" i="12"/>
  <c r="F14" i="12" s="1"/>
  <c r="E37" i="12"/>
  <c r="F37" i="12" s="1"/>
  <c r="E30" i="12"/>
  <c r="F30" i="12" s="1"/>
  <c r="J40" i="12"/>
  <c r="D40" i="12"/>
  <c r="C40" i="12"/>
  <c r="J16" i="12"/>
  <c r="D16" i="12"/>
  <c r="C16" i="12"/>
  <c r="I5" i="12"/>
  <c r="I27" i="12"/>
  <c r="I34" i="12"/>
  <c r="I11" i="12"/>
  <c r="E35" i="12"/>
  <c r="E12" i="12"/>
  <c r="F12" i="12" s="1"/>
  <c r="F10" i="18" l="1"/>
  <c r="H7" i="18"/>
  <c r="F35" i="12"/>
  <c r="F12" i="18" l="1"/>
  <c r="H10" i="18"/>
  <c r="E7" i="12"/>
  <c r="F7" i="12" s="1"/>
  <c r="E29" i="12"/>
  <c r="F29" i="12" s="1"/>
  <c r="H12" i="18" l="1"/>
  <c r="H17" i="18" s="1"/>
  <c r="F17" i="18"/>
  <c r="M100" i="3"/>
  <c r="M101" i="3"/>
  <c r="M102" i="3"/>
  <c r="M103" i="3"/>
  <c r="M105" i="3"/>
  <c r="M107" i="3"/>
  <c r="M108" i="3"/>
  <c r="M109" i="3"/>
  <c r="M110" i="3"/>
  <c r="M111" i="3"/>
  <c r="M112" i="3"/>
  <c r="M113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E28" i="12" l="1"/>
  <c r="E40" i="12" s="1"/>
  <c r="E6" i="12"/>
  <c r="E16" i="12" s="1"/>
  <c r="F28" i="12" l="1"/>
  <c r="F40" i="12" s="1"/>
  <c r="F6" i="12"/>
  <c r="C117" i="3"/>
  <c r="C94" i="3"/>
  <c r="C71" i="3"/>
  <c r="C47" i="3"/>
  <c r="C24" i="3"/>
  <c r="B117" i="3"/>
  <c r="B94" i="3"/>
  <c r="B71" i="3"/>
  <c r="B47" i="3"/>
  <c r="B24" i="3"/>
  <c r="K28" i="12" l="1"/>
  <c r="K40" i="12" s="1"/>
  <c r="F2" i="12"/>
  <c r="F16" i="12"/>
  <c r="K6" i="12"/>
  <c r="K16" i="12" s="1"/>
  <c r="H115" i="3"/>
  <c r="D115" i="3"/>
  <c r="H92" i="3"/>
  <c r="D92" i="3"/>
  <c r="H69" i="3"/>
  <c r="D69" i="3"/>
  <c r="H45" i="3"/>
  <c r="D45" i="3"/>
  <c r="H22" i="3"/>
  <c r="D22" i="3"/>
  <c r="E115" i="3" l="1"/>
  <c r="E92" i="3"/>
  <c r="E69" i="3"/>
  <c r="E45" i="3"/>
  <c r="E22" i="3"/>
  <c r="I31" i="10" l="1"/>
  <c r="F31" i="10"/>
  <c r="G31" i="10" s="1"/>
  <c r="I30" i="10"/>
  <c r="F30" i="10"/>
  <c r="G30" i="10" s="1"/>
  <c r="I29" i="10"/>
  <c r="F29" i="10"/>
  <c r="G29" i="10" s="1"/>
  <c r="I28" i="10"/>
  <c r="F28" i="10"/>
  <c r="G28" i="10" s="1"/>
  <c r="I27" i="10"/>
  <c r="F27" i="10"/>
  <c r="G27" i="10" s="1"/>
  <c r="I26" i="10"/>
  <c r="F26" i="10"/>
  <c r="G26" i="10" s="1"/>
  <c r="I24" i="10"/>
  <c r="F24" i="10"/>
  <c r="G24" i="10" s="1"/>
  <c r="I23" i="10"/>
  <c r="F23" i="10"/>
  <c r="G23" i="10" s="1"/>
  <c r="I21" i="10"/>
  <c r="F21" i="10"/>
  <c r="G21" i="10" s="1"/>
  <c r="I20" i="10"/>
  <c r="F20" i="10"/>
  <c r="G20" i="10" s="1"/>
  <c r="I19" i="10"/>
  <c r="F19" i="10"/>
  <c r="G19" i="10" s="1"/>
  <c r="I17" i="10"/>
  <c r="F17" i="10"/>
  <c r="G17" i="10" s="1"/>
  <c r="E15" i="10"/>
  <c r="D15" i="10"/>
  <c r="I13" i="10"/>
  <c r="F13" i="10"/>
  <c r="G13" i="10" s="1"/>
  <c r="I12" i="10"/>
  <c r="F12" i="10"/>
  <c r="G12" i="10" s="1"/>
  <c r="I11" i="10"/>
  <c r="F11" i="10"/>
  <c r="G11" i="10" s="1"/>
  <c r="I10" i="10"/>
  <c r="F10" i="10"/>
  <c r="G10" i="10" s="1"/>
  <c r="I9" i="10"/>
  <c r="F9" i="10"/>
  <c r="G9" i="10" s="1"/>
  <c r="I7" i="10"/>
  <c r="G7" i="10"/>
  <c r="F7" i="10"/>
  <c r="I5" i="10"/>
  <c r="F5" i="10"/>
  <c r="F15" i="10" l="1"/>
  <c r="G15" i="10" s="1"/>
  <c r="G5" i="10"/>
  <c r="H114" i="3" l="1"/>
  <c r="D114" i="3"/>
  <c r="E114" i="3" s="1"/>
  <c r="H91" i="3"/>
  <c r="D91" i="3"/>
  <c r="E91" i="3" s="1"/>
  <c r="H68" i="3"/>
  <c r="D68" i="3"/>
  <c r="E68" i="3" s="1"/>
  <c r="H44" i="3"/>
  <c r="D44" i="3"/>
  <c r="E44" i="3" s="1"/>
  <c r="H21" i="3"/>
  <c r="D21" i="3"/>
  <c r="E21" i="3" s="1"/>
  <c r="H113" i="3" l="1"/>
  <c r="D113" i="3"/>
  <c r="E113" i="3" s="1"/>
  <c r="J113" i="3" s="1"/>
  <c r="H90" i="3"/>
  <c r="D90" i="3"/>
  <c r="E90" i="3" s="1"/>
  <c r="J90" i="3" s="1"/>
  <c r="H67" i="3"/>
  <c r="D67" i="3"/>
  <c r="E67" i="3" s="1"/>
  <c r="J67" i="3" s="1"/>
  <c r="H43" i="3"/>
  <c r="D43" i="3"/>
  <c r="E43" i="3" s="1"/>
  <c r="J43" i="3" s="1"/>
  <c r="H20" i="3"/>
  <c r="D20" i="3"/>
  <c r="E20" i="3" s="1"/>
  <c r="J20" i="3" s="1"/>
  <c r="J106" i="3" l="1"/>
  <c r="J104" i="3"/>
  <c r="J83" i="3"/>
  <c r="J81" i="3"/>
  <c r="J60" i="3"/>
  <c r="J58" i="3"/>
  <c r="J54" i="3"/>
  <c r="J36" i="3"/>
  <c r="J34" i="3"/>
  <c r="J13" i="3"/>
  <c r="J11" i="3"/>
  <c r="H112" i="3" l="1"/>
  <c r="D112" i="3"/>
  <c r="E112" i="3" s="1"/>
  <c r="I112" i="3" s="1"/>
  <c r="J112" i="3" s="1"/>
  <c r="H111" i="3"/>
  <c r="D111" i="3"/>
  <c r="E111" i="3" s="1"/>
  <c r="D110" i="3"/>
  <c r="E110" i="3" s="1"/>
  <c r="J110" i="3" s="1"/>
  <c r="D109" i="3"/>
  <c r="E109" i="3" s="1"/>
  <c r="J109" i="3" s="1"/>
  <c r="D108" i="3"/>
  <c r="E108" i="3" s="1"/>
  <c r="J108" i="3" s="1"/>
  <c r="D107" i="3"/>
  <c r="E107" i="3" s="1"/>
  <c r="J107" i="3" s="1"/>
  <c r="D105" i="3"/>
  <c r="E105" i="3" s="1"/>
  <c r="J105" i="3" s="1"/>
  <c r="D103" i="3"/>
  <c r="E103" i="3" s="1"/>
  <c r="J103" i="3" s="1"/>
  <c r="I102" i="3"/>
  <c r="D102" i="3"/>
  <c r="E102" i="3" s="1"/>
  <c r="I101" i="3"/>
  <c r="D101" i="3"/>
  <c r="E101" i="3" s="1"/>
  <c r="D100" i="3"/>
  <c r="E100" i="3" s="1"/>
  <c r="J100" i="3" s="1"/>
  <c r="D99" i="3"/>
  <c r="H89" i="3"/>
  <c r="D89" i="3"/>
  <c r="E89" i="3" s="1"/>
  <c r="I89" i="3" s="1"/>
  <c r="J89" i="3" s="1"/>
  <c r="H88" i="3"/>
  <c r="D88" i="3"/>
  <c r="E88" i="3" s="1"/>
  <c r="D87" i="3"/>
  <c r="E87" i="3" s="1"/>
  <c r="J87" i="3" s="1"/>
  <c r="D86" i="3"/>
  <c r="E86" i="3" s="1"/>
  <c r="J86" i="3" s="1"/>
  <c r="D85" i="3"/>
  <c r="E85" i="3" s="1"/>
  <c r="J85" i="3" s="1"/>
  <c r="D84" i="3"/>
  <c r="E84" i="3" s="1"/>
  <c r="J84" i="3" s="1"/>
  <c r="D82" i="3"/>
  <c r="E82" i="3" s="1"/>
  <c r="J82" i="3" s="1"/>
  <c r="D80" i="3"/>
  <c r="E80" i="3" s="1"/>
  <c r="J80" i="3" s="1"/>
  <c r="I79" i="3"/>
  <c r="D79" i="3"/>
  <c r="E79" i="3" s="1"/>
  <c r="I78" i="3"/>
  <c r="D78" i="3"/>
  <c r="E78" i="3" s="1"/>
  <c r="D77" i="3"/>
  <c r="E77" i="3" s="1"/>
  <c r="J77" i="3" s="1"/>
  <c r="D76" i="3"/>
  <c r="H66" i="3"/>
  <c r="D66" i="3"/>
  <c r="E66" i="3" s="1"/>
  <c r="I66" i="3" s="1"/>
  <c r="J66" i="3" s="1"/>
  <c r="H65" i="3"/>
  <c r="D65" i="3"/>
  <c r="E65" i="3" s="1"/>
  <c r="D64" i="3"/>
  <c r="E64" i="3" s="1"/>
  <c r="J64" i="3" s="1"/>
  <c r="D63" i="3"/>
  <c r="E63" i="3" s="1"/>
  <c r="J63" i="3" s="1"/>
  <c r="D62" i="3"/>
  <c r="E62" i="3" s="1"/>
  <c r="J62" i="3" s="1"/>
  <c r="D61" i="3"/>
  <c r="E61" i="3" s="1"/>
  <c r="J61" i="3" s="1"/>
  <c r="D59" i="3"/>
  <c r="E59" i="3" s="1"/>
  <c r="J59" i="3" s="1"/>
  <c r="D57" i="3"/>
  <c r="E57" i="3" s="1"/>
  <c r="J57" i="3" s="1"/>
  <c r="D56" i="3"/>
  <c r="E56" i="3" s="1"/>
  <c r="J56" i="3" s="1"/>
  <c r="D55" i="3"/>
  <c r="E55" i="3" s="1"/>
  <c r="D53" i="3"/>
  <c r="E53" i="3" s="1"/>
  <c r="J53" i="3" s="1"/>
  <c r="D52" i="3"/>
  <c r="H42" i="3"/>
  <c r="D42" i="3"/>
  <c r="E42" i="3" s="1"/>
  <c r="I42" i="3" s="1"/>
  <c r="J42" i="3" s="1"/>
  <c r="H41" i="3"/>
  <c r="D41" i="3"/>
  <c r="E41" i="3" s="1"/>
  <c r="D40" i="3"/>
  <c r="E40" i="3" s="1"/>
  <c r="J40" i="3" s="1"/>
  <c r="D39" i="3"/>
  <c r="E39" i="3" s="1"/>
  <c r="J39" i="3" s="1"/>
  <c r="D38" i="3"/>
  <c r="E38" i="3" s="1"/>
  <c r="J38" i="3" s="1"/>
  <c r="D37" i="3"/>
  <c r="E37" i="3" s="1"/>
  <c r="J37" i="3" s="1"/>
  <c r="D35" i="3"/>
  <c r="E35" i="3" s="1"/>
  <c r="J35" i="3" s="1"/>
  <c r="D33" i="3"/>
  <c r="E33" i="3" s="1"/>
  <c r="J33" i="3" s="1"/>
  <c r="D32" i="3"/>
  <c r="E32" i="3" s="1"/>
  <c r="J32" i="3" s="1"/>
  <c r="D31" i="3"/>
  <c r="E31" i="3" s="1"/>
  <c r="J31" i="3" s="1"/>
  <c r="D30" i="3"/>
  <c r="E30" i="3" s="1"/>
  <c r="J30" i="3" s="1"/>
  <c r="D29" i="3"/>
  <c r="H19" i="3"/>
  <c r="D19" i="3"/>
  <c r="E19" i="3" s="1"/>
  <c r="I19" i="3" s="1"/>
  <c r="J19" i="3" s="1"/>
  <c r="H18" i="3"/>
  <c r="D18" i="3"/>
  <c r="E18" i="3" s="1"/>
  <c r="D17" i="3"/>
  <c r="E17" i="3" s="1"/>
  <c r="J17" i="3" s="1"/>
  <c r="D16" i="3"/>
  <c r="E16" i="3" s="1"/>
  <c r="J16" i="3" s="1"/>
  <c r="D15" i="3"/>
  <c r="E15" i="3" s="1"/>
  <c r="J15" i="3" s="1"/>
  <c r="D14" i="3"/>
  <c r="E14" i="3" s="1"/>
  <c r="J14" i="3" s="1"/>
  <c r="D12" i="3"/>
  <c r="E12" i="3" s="1"/>
  <c r="J12" i="3" s="1"/>
  <c r="D10" i="3"/>
  <c r="E10" i="3" s="1"/>
  <c r="J10" i="3" s="1"/>
  <c r="D9" i="3"/>
  <c r="E9" i="3" s="1"/>
  <c r="J9" i="3" s="1"/>
  <c r="D8" i="3"/>
  <c r="E8" i="3" s="1"/>
  <c r="J8" i="3" s="1"/>
  <c r="D7" i="3"/>
  <c r="E7" i="3" s="1"/>
  <c r="J7" i="3" s="1"/>
  <c r="D6" i="3"/>
  <c r="D24" i="3" l="1"/>
  <c r="D71" i="3"/>
  <c r="J78" i="3"/>
  <c r="J101" i="3"/>
  <c r="D47" i="3"/>
  <c r="D94" i="3"/>
  <c r="J79" i="3"/>
  <c r="D117" i="3"/>
  <c r="J102" i="3"/>
  <c r="I111" i="3"/>
  <c r="I117" i="3" s="1"/>
  <c r="E76" i="3"/>
  <c r="E94" i="3" s="1"/>
  <c r="I88" i="3"/>
  <c r="I94" i="3" s="1"/>
  <c r="I65" i="3"/>
  <c r="J65" i="3" s="1"/>
  <c r="I41" i="3"/>
  <c r="I47" i="3" s="1"/>
  <c r="I18" i="3"/>
  <c r="I24" i="3" s="1"/>
  <c r="E29" i="3"/>
  <c r="E47" i="3" s="1"/>
  <c r="E6" i="3"/>
  <c r="E24" i="3" s="1"/>
  <c r="E52" i="3"/>
  <c r="E71" i="3" s="1"/>
  <c r="E99" i="3"/>
  <c r="I55" i="3"/>
  <c r="J111" i="3" l="1"/>
  <c r="I71" i="3"/>
  <c r="E117" i="3"/>
  <c r="J99" i="3"/>
  <c r="J88" i="3"/>
  <c r="J76" i="3"/>
  <c r="J41" i="3"/>
  <c r="J18" i="3"/>
  <c r="J29" i="3"/>
  <c r="J55" i="3"/>
  <c r="J52" i="3"/>
  <c r="J6" i="3"/>
  <c r="J24" i="3" l="1"/>
  <c r="J47" i="3"/>
  <c r="J117" i="3"/>
  <c r="J94" i="3"/>
  <c r="J71" i="3"/>
</calcChain>
</file>

<file path=xl/sharedStrings.xml><?xml version="1.0" encoding="utf-8"?>
<sst xmlns="http://schemas.openxmlformats.org/spreadsheetml/2006/main" count="505" uniqueCount="164">
  <si>
    <t>Gujarat 15 MW</t>
  </si>
  <si>
    <t>Export Unit</t>
  </si>
  <si>
    <t>Import Unit</t>
  </si>
  <si>
    <t>Net Unit Billed</t>
  </si>
  <si>
    <t>Bill Amount</t>
  </si>
  <si>
    <t>Bill Date</t>
  </si>
  <si>
    <t>Due Date</t>
  </si>
  <si>
    <t>Received Amount</t>
  </si>
  <si>
    <t>Deduction</t>
  </si>
  <si>
    <t>Payment Received Date</t>
  </si>
  <si>
    <t>Total</t>
  </si>
  <si>
    <t>MP 25 MW</t>
  </si>
  <si>
    <t>ACME Gurgaon Power P Ltd 20 MW</t>
  </si>
  <si>
    <t>Not received</t>
  </si>
  <si>
    <t>Not Due</t>
  </si>
  <si>
    <t>ACME Mumbai Power P Ltd 20 MW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</si>
  <si>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</si>
  <si>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ACME Rajdhani Power P Ltd 20 MW</t>
  </si>
  <si>
    <t>Medha Energy P Ltd 20 MW</t>
  </si>
  <si>
    <t>Ranji Solar Energy P Ltd 20 MW</t>
  </si>
  <si>
    <t>Khairakurd</t>
  </si>
  <si>
    <t>Mankhera</t>
  </si>
  <si>
    <t>Jhandekalan</t>
  </si>
  <si>
    <t>Nangla</t>
  </si>
  <si>
    <t>Junair</t>
  </si>
  <si>
    <t xml:space="preserve">Feeder No. </t>
  </si>
  <si>
    <t xml:space="preserve">BAY No. </t>
  </si>
  <si>
    <t>Feeder 1</t>
  </si>
  <si>
    <t>Feeder 2</t>
  </si>
  <si>
    <t>Period</t>
  </si>
  <si>
    <t>AAROHI SOLAR  50 MW (HINDUPUR)</t>
  </si>
  <si>
    <t>VISHWATMA SOLAR  30 MW (YAMMIGNUR)</t>
  </si>
  <si>
    <t>DAYANIDHI SOLAR 40_MW (SHANTIPURAM)</t>
  </si>
  <si>
    <t>Provisional</t>
  </si>
  <si>
    <t>Gurgaon</t>
  </si>
  <si>
    <t>Mumbai</t>
  </si>
  <si>
    <t>Rajdhani</t>
  </si>
  <si>
    <t>Medha</t>
  </si>
  <si>
    <t>Ranji</t>
  </si>
  <si>
    <t>Odisha</t>
  </si>
  <si>
    <t>Chattisgarh</t>
  </si>
  <si>
    <t>Punjab- MIHIT</t>
  </si>
  <si>
    <t>SECI Rajasthan</t>
  </si>
  <si>
    <t>Punjab- Rooftop</t>
  </si>
  <si>
    <t>Aarohi</t>
  </si>
  <si>
    <t>Jaisalmer Feeder 1</t>
  </si>
  <si>
    <t>Jaisalmer Feeder 2</t>
  </si>
  <si>
    <t>AP</t>
  </si>
  <si>
    <t>Niranjana BAY 01</t>
  </si>
  <si>
    <t>Niranjana BAY 02</t>
  </si>
  <si>
    <t>Dayanidhi</t>
  </si>
  <si>
    <t>Month</t>
  </si>
  <si>
    <t>Location</t>
  </si>
  <si>
    <t>Project</t>
  </si>
  <si>
    <t>Bill Submission Date</t>
  </si>
  <si>
    <t>ACME MAGADH SOLAR  10 MW</t>
  </si>
  <si>
    <t>ACME NALANDA SOLAR  15 MW</t>
  </si>
  <si>
    <t>Billing to be made</t>
  </si>
  <si>
    <t>Date of Commission (COD):</t>
  </si>
  <si>
    <t>Payment Terms :</t>
  </si>
  <si>
    <t>Rebate :</t>
  </si>
  <si>
    <t xml:space="preserve">Late payment: </t>
  </si>
  <si>
    <t>Last day of bill submission month</t>
  </si>
  <si>
    <t xml:space="preserve">if Bill submit with in 10 days, due date will be </t>
  </si>
  <si>
    <t xml:space="preserve">if Bill submit after 10th day of the month Due date will be </t>
  </si>
  <si>
    <t>1.25% Per month - on daily Basis (day or part thereof) if Paid after 60 days from bill due date</t>
  </si>
  <si>
    <t>2%  if Paid within 3 days from bill submission date</t>
  </si>
  <si>
    <t>1%  if Paid after 3 days and before due date</t>
  </si>
  <si>
    <t xml:space="preserve">30th days from  of bill submission date </t>
  </si>
  <si>
    <t>29-09-20916</t>
  </si>
  <si>
    <t>DAYAKARA SOLAR  30 MW</t>
  </si>
  <si>
    <t>GRAHATI SOLAR  50 MW</t>
  </si>
  <si>
    <t>Devision</t>
  </si>
  <si>
    <t>North 40 %</t>
  </si>
  <si>
    <t>South 60 %</t>
  </si>
  <si>
    <t>Eminent Solar Power Pvt Ltd.</t>
  </si>
  <si>
    <t>ACME RAIPUR- 30 MW</t>
  </si>
  <si>
    <t>MIHIT SOLAR- 74 MW</t>
  </si>
  <si>
    <t>BAY01</t>
  </si>
  <si>
    <t>BAY02</t>
  </si>
  <si>
    <t>Capacity (MW)</t>
  </si>
  <si>
    <t>Invoice Values (kWh)</t>
  </si>
  <si>
    <t>Export Unit (kWh)</t>
  </si>
  <si>
    <t>Import Unit (kWh)</t>
  </si>
  <si>
    <t>Net Unit Billed (kWh)</t>
  </si>
  <si>
    <t xml:space="preserve"> </t>
  </si>
  <si>
    <t>SL No.</t>
  </si>
  <si>
    <t>SPVs</t>
  </si>
  <si>
    <t>State</t>
  </si>
  <si>
    <t>Telangana</t>
  </si>
  <si>
    <t>Andhra Pradesh</t>
  </si>
  <si>
    <t>ACME Jaisalmer Solar Power Pvt. Ltd.</t>
  </si>
  <si>
    <t>Aarohi Solar Pvt. Ltd.</t>
  </si>
  <si>
    <t>Dayanidhi Solar Power Pvt. Ltd.</t>
  </si>
  <si>
    <t>Niranjana Solar Energy Pvt. Ltd.</t>
  </si>
  <si>
    <t>Vishwatma Solar Energy Pvt Ltd.</t>
  </si>
  <si>
    <t>Acme Raipur Solar Power Pvt. Ltd.</t>
  </si>
  <si>
    <t>Dayakara Solar Power Pvt Ltd</t>
  </si>
  <si>
    <t>Grahati Solar  Energy Pvt Ltd</t>
  </si>
  <si>
    <t>Acme Odisha Solar Power Pvt Ltd</t>
  </si>
  <si>
    <t>Punjab</t>
  </si>
  <si>
    <t>Chattishgarh</t>
  </si>
  <si>
    <t>Uttrakhand</t>
  </si>
  <si>
    <t>SOLAR GROUPED PROJECT BY ACME GROUP (EKIESL-VCS-AUG-16-01)</t>
  </si>
  <si>
    <t>Project Title :- 
VCS 1580</t>
  </si>
  <si>
    <t>EMINENT SOLAR  12.5 MW</t>
  </si>
  <si>
    <t>Niranjana Solar 20 MW (PATIKONDA)</t>
  </si>
  <si>
    <t>ACME ODISHA 25 MW</t>
  </si>
  <si>
    <t>24 MW Jhandekalan</t>
  </si>
  <si>
    <t>25 MW Mankhera</t>
  </si>
  <si>
    <t>25 MW Kherakhurd</t>
  </si>
  <si>
    <t>From</t>
  </si>
  <si>
    <t>To</t>
  </si>
  <si>
    <t>ACME JAISALMER 20 MW (RAICHOTTI)</t>
  </si>
  <si>
    <t>Net Electricity Generated (kWh)</t>
  </si>
  <si>
    <t>Net Electricity as per Invoice (kWh)</t>
  </si>
  <si>
    <t>Parameter</t>
  </si>
  <si>
    <t>Symbol</t>
  </si>
  <si>
    <t xml:space="preserve">Year </t>
  </si>
  <si>
    <t>Unit</t>
  </si>
  <si>
    <t>Net electricity supplied to the grid by the project activity instance</t>
  </si>
  <si>
    <r>
      <t>EG</t>
    </r>
    <r>
      <rPr>
        <vertAlign val="subscript"/>
        <sz val="10"/>
        <color theme="1"/>
        <rFont val="Arial"/>
        <family val="2"/>
      </rPr>
      <t>y</t>
    </r>
    <r>
      <rPr>
        <sz val="10"/>
        <color theme="1"/>
        <rFont val="Arial"/>
        <family val="2"/>
      </rPr>
      <t xml:space="preserve"> </t>
    </r>
  </si>
  <si>
    <t>MWh</t>
  </si>
  <si>
    <t>Grid Emission Factor</t>
  </si>
  <si>
    <r>
      <t>EF</t>
    </r>
    <r>
      <rPr>
        <vertAlign val="subscript"/>
        <sz val="10"/>
        <color rgb="FF000000"/>
        <rFont val="Arial"/>
        <family val="2"/>
      </rPr>
      <t>grid,CM,y</t>
    </r>
  </si>
  <si>
    <r>
      <t>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e/MWh</t>
    </r>
  </si>
  <si>
    <t>Baseline Emission</t>
  </si>
  <si>
    <r>
      <t>BE</t>
    </r>
    <r>
      <rPr>
        <vertAlign val="subscript"/>
        <sz val="10"/>
        <rFont val="Arial"/>
        <family val="2"/>
      </rPr>
      <t>y</t>
    </r>
  </si>
  <si>
    <r>
      <t>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</t>
    </r>
  </si>
  <si>
    <t>Project Emission</t>
  </si>
  <si>
    <r>
      <t>PE</t>
    </r>
    <r>
      <rPr>
        <vertAlign val="subscript"/>
        <sz val="10"/>
        <rFont val="Arial"/>
        <family val="2"/>
      </rPr>
      <t xml:space="preserve">y </t>
    </r>
  </si>
  <si>
    <t>Leakage Emission</t>
  </si>
  <si>
    <r>
      <t>LE</t>
    </r>
    <r>
      <rPr>
        <vertAlign val="subscript"/>
        <sz val="10"/>
        <rFont val="Arial"/>
        <family val="2"/>
      </rPr>
      <t xml:space="preserve">y </t>
    </r>
  </si>
  <si>
    <r>
      <t>Net Emission Reduction</t>
    </r>
    <r>
      <rPr>
        <sz val="10"/>
        <rFont val="Arial"/>
        <family val="2"/>
      </rPr>
      <t xml:space="preserve"> = Baseline emission - Project emissions - Leakage Emission</t>
    </r>
  </si>
  <si>
    <r>
      <t>ER</t>
    </r>
    <r>
      <rPr>
        <vertAlign val="subscript"/>
        <sz val="10"/>
        <rFont val="Arial"/>
        <family val="2"/>
      </rPr>
      <t xml:space="preserve">y </t>
    </r>
  </si>
  <si>
    <t>01/02/2023 to 31/12/2023</t>
  </si>
  <si>
    <t>01/01/2024 to 15/04/2024</t>
  </si>
  <si>
    <r>
      <t>Actual Emission Reduction considering the monitoring period (tCO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e/year) </t>
    </r>
  </si>
  <si>
    <r>
      <t>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e/Year</t>
    </r>
  </si>
  <si>
    <t>Monitoring Period Start Date</t>
  </si>
  <si>
    <t>Monitoring Period End Date</t>
  </si>
  <si>
    <t>Total Days</t>
  </si>
  <si>
    <t>days</t>
  </si>
  <si>
    <t>Estimated Emission reduction in Currenet Monitotring Period as per PDMR</t>
  </si>
  <si>
    <t xml:space="preserve">Variation in the emission reduction </t>
  </si>
  <si>
    <t>%</t>
  </si>
  <si>
    <t>Mihit Solar Power Private Ltd. 24 MW, Jhandekalan</t>
  </si>
  <si>
    <t>Mihit Solar Power Private Ltd. 25 MW, Kherakhurd</t>
  </si>
  <si>
    <t>Mihit Solar Power Private Ltd. 25 MW, Mankhera</t>
  </si>
  <si>
    <t>Generation Ratio</t>
  </si>
  <si>
    <t>Apportioning has been done on Apr 2024 generation.</t>
  </si>
  <si>
    <t>Generation from 01/04/2024 to 30/04/2024 as per DGR (kWh)</t>
  </si>
  <si>
    <t>Generation from 01/04/2024 to 15/04/2024 as per DGR (kWh)</t>
  </si>
  <si>
    <t>Mihit Solar Power Private Ltd. 25 MW Kherakhurd</t>
  </si>
  <si>
    <t>Mihit Solar Power Private Ltd. 25 MW Mankhera</t>
  </si>
  <si>
    <t>Mihit Solar Power Private Ltd. 24 MW Jhandekalan</t>
  </si>
  <si>
    <t>Dayakara Solar Power Pvt Ltd.</t>
  </si>
  <si>
    <t>Grahati Solar  Energy Pvt Ltd.</t>
  </si>
  <si>
    <t>Acme Odisha Solar Power Pvt Ltd.</t>
  </si>
  <si>
    <t>ACME Jaisalmer Solar Power Pvt. Ltd., Feeder1</t>
  </si>
  <si>
    <t>ACME Jaisalmer Solar Power Pvt. Ltd., Feeder2</t>
  </si>
  <si>
    <t>Niranjana Solar Energy Pvt. Ltd., Bay1</t>
  </si>
  <si>
    <t>Niranjana Solar Energy Pvt. Ltd., Bay2</t>
  </si>
  <si>
    <r>
      <t>EG</t>
    </r>
    <r>
      <rPr>
        <b/>
        <vertAlign val="subscript"/>
        <sz val="10"/>
        <rFont val="Arial"/>
        <family val="2"/>
      </rPr>
      <t>PJ,y</t>
    </r>
    <r>
      <rPr>
        <b/>
        <sz val="10"/>
        <rFont val="Arial"/>
        <family val="2"/>
      </rPr>
      <t xml:space="preserve"> 
[Quantity of net electricity generation supplied by the project (Solar) plant/unit to the grid] (MWh)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</si>
</sst>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-* #,##0.00_-;\-* #,##0.00_-;_-* &quot;-&quot;??_-;_-@_-"/>
    <numFmt numFmtId="168" formatCode="[$-409]d/mmm/yy;@"/>
    <numFmt numFmtId="169" formatCode="_(* #,##0.0_);_(* \(#,##0.0\);_(* &quot;-&quot;?_);_(@_)"/>
    <numFmt numFmtId="170" formatCode="0.0"/>
    <numFmt numFmtId="171" formatCode="0.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scheme val="minor"/>
    </font>
    <font>
      <sz val="11"/>
      <name val="Calibri"/>
      <scheme val="minor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vertAlign val="subscript"/>
      <sz val="10"/>
      <name val="Arial"/>
      <family val="2"/>
    </font>
    <font>
      <b/>
      <sz val="10"/>
      <color theme="1"/>
      <name val="Arial"/>
      <family val="2"/>
    </font>
    <font>
      <sz val="10"/>
      <color theme="1" tint="4.9989318521683403E-2"/>
      <name val="Arial"/>
      <family val="2"/>
    </font>
    <font>
      <b/>
      <sz val="10"/>
      <color rgb="FF00B0F0"/>
      <name val="Arial"/>
      <family val="2"/>
    </font>
    <font>
      <b/>
      <vertAlign val="sub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</cellStyleXfs>
  <cellXfs count="197">
    <xf numFmtId="0" fontId="0" fillId="0" borderId="0" xfId="0"/>
    <xf numFmtId="0" fontId="4" fillId="0" borderId="0" xfId="0" applyFont="1"/>
    <xf numFmtId="0" fontId="0" fillId="0" borderId="1" xfId="0" applyBorder="1"/>
    <xf numFmtId="165" fontId="3" fillId="2" borderId="1" xfId="1" applyNumberFormat="1" applyFont="1" applyFill="1" applyBorder="1"/>
    <xf numFmtId="165" fontId="5" fillId="0" borderId="1" xfId="1" applyNumberFormat="1" applyFont="1" applyFill="1" applyBorder="1"/>
    <xf numFmtId="165" fontId="5" fillId="0" borderId="1" xfId="1" applyNumberFormat="1" applyFont="1" applyFill="1" applyBorder="1" applyAlignment="1">
      <alignment horizontal="right"/>
    </xf>
    <xf numFmtId="165" fontId="0" fillId="0" borderId="1" xfId="1" applyNumberFormat="1" applyFont="1" applyBorder="1"/>
    <xf numFmtId="15" fontId="0" fillId="0" borderId="1" xfId="0" applyNumberFormat="1" applyBorder="1"/>
    <xf numFmtId="165" fontId="0" fillId="0" borderId="1" xfId="1" applyNumberFormat="1" applyFont="1" applyFill="1" applyBorder="1"/>
    <xf numFmtId="15" fontId="0" fillId="0" borderId="1" xfId="0" applyNumberFormat="1" applyBorder="1" applyAlignment="1">
      <alignment horizontal="left"/>
    </xf>
    <xf numFmtId="15" fontId="5" fillId="0" borderId="1" xfId="0" applyNumberFormat="1" applyFont="1" applyBorder="1" applyAlignment="1">
      <alignment horizontal="left"/>
    </xf>
    <xf numFmtId="165" fontId="5" fillId="0" borderId="1" xfId="1" applyNumberFormat="1" applyFont="1" applyBorder="1"/>
    <xf numFmtId="15" fontId="5" fillId="0" borderId="1" xfId="0" applyNumberFormat="1" applyFont="1" applyBorder="1"/>
    <xf numFmtId="165" fontId="3" fillId="2" borderId="1" xfId="1" applyNumberFormat="1" applyFont="1" applyFill="1" applyBorder="1" applyAlignment="1">
      <alignment wrapText="1"/>
    </xf>
    <xf numFmtId="165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7" fontId="3" fillId="0" borderId="1" xfId="0" applyNumberFormat="1" applyFont="1" applyBorder="1"/>
    <xf numFmtId="165" fontId="5" fillId="0" borderId="2" xfId="1" applyNumberFormat="1" applyFont="1" applyBorder="1" applyAlignment="1">
      <alignment horizontal="center" vertical="center"/>
    </xf>
    <xf numFmtId="15" fontId="0" fillId="0" borderId="1" xfId="0" applyNumberFormat="1" applyBorder="1" applyAlignment="1">
      <alignment horizontal="right"/>
    </xf>
    <xf numFmtId="165" fontId="0" fillId="0" borderId="1" xfId="1" applyNumberFormat="1" applyFont="1" applyFill="1" applyBorder="1" applyAlignment="1">
      <alignment horizontal="right"/>
    </xf>
    <xf numFmtId="165" fontId="0" fillId="0" borderId="1" xfId="1" applyNumberFormat="1" applyFont="1" applyBorder="1" applyAlignment="1">
      <alignment horizontal="center" vertical="center"/>
    </xf>
    <xf numFmtId="0" fontId="3" fillId="0" borderId="0" xfId="0" applyFont="1"/>
    <xf numFmtId="165" fontId="3" fillId="0" borderId="0" xfId="0" applyNumberFormat="1" applyFont="1"/>
    <xf numFmtId="4" fontId="0" fillId="0" borderId="0" xfId="0" applyNumberFormat="1"/>
    <xf numFmtId="165" fontId="0" fillId="0" borderId="1" xfId="1" applyNumberFormat="1" applyFont="1" applyBorder="1" applyAlignment="1">
      <alignment horizontal="right"/>
    </xf>
    <xf numFmtId="166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166" fontId="5" fillId="0" borderId="2" xfId="1" applyNumberFormat="1" applyFont="1" applyBorder="1" applyAlignment="1">
      <alignment horizontal="center" vertical="center"/>
    </xf>
    <xf numFmtId="166" fontId="0" fillId="0" borderId="1" xfId="1" applyNumberFormat="1" applyFont="1" applyBorder="1"/>
    <xf numFmtId="166" fontId="0" fillId="0" borderId="1" xfId="1" applyNumberFormat="1" applyFont="1" applyFill="1" applyBorder="1"/>
    <xf numFmtId="167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17" fontId="3" fillId="0" borderId="2" xfId="0" applyNumberFormat="1" applyFont="1" applyBorder="1"/>
    <xf numFmtId="165" fontId="3" fillId="0" borderId="0" xfId="1" applyNumberFormat="1" applyFont="1" applyFill="1" applyBorder="1"/>
    <xf numFmtId="0" fontId="0" fillId="0" borderId="0" xfId="0" applyAlignment="1">
      <alignment horizontal="center" vertical="center" wrapText="1"/>
    </xf>
    <xf numFmtId="0" fontId="6" fillId="0" borderId="0" xfId="0" applyFont="1"/>
    <xf numFmtId="165" fontId="3" fillId="0" borderId="1" xfId="1" applyNumberFormat="1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17" fontId="0" fillId="0" borderId="1" xfId="0" applyNumberFormat="1" applyBorder="1"/>
    <xf numFmtId="17" fontId="0" fillId="0" borderId="2" xfId="0" applyNumberFormat="1" applyBorder="1"/>
    <xf numFmtId="165" fontId="0" fillId="0" borderId="1" xfId="1" applyNumberFormat="1" applyFont="1" applyBorder="1" applyAlignment="1">
      <alignment horizontal="left" vertical="center"/>
    </xf>
    <xf numFmtId="17" fontId="0" fillId="0" borderId="1" xfId="0" applyNumberFormat="1" applyBorder="1" applyAlignment="1">
      <alignment horizontal="right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0" applyFont="1" applyBorder="1"/>
    <xf numFmtId="0" fontId="0" fillId="0" borderId="8" xfId="0" applyBorder="1" applyAlignment="1">
      <alignment horizontal="center" vertical="center" wrapText="1"/>
    </xf>
    <xf numFmtId="17" fontId="0" fillId="0" borderId="7" xfId="0" applyNumberFormat="1" applyBorder="1" applyAlignment="1">
      <alignment horizontal="right"/>
    </xf>
    <xf numFmtId="0" fontId="0" fillId="0" borderId="8" xfId="0" applyBorder="1"/>
    <xf numFmtId="17" fontId="0" fillId="0" borderId="7" xfId="0" applyNumberFormat="1" applyBorder="1"/>
    <xf numFmtId="0" fontId="6" fillId="0" borderId="9" xfId="0" applyFont="1" applyBorder="1"/>
    <xf numFmtId="17" fontId="0" fillId="0" borderId="10" xfId="0" applyNumberFormat="1" applyBorder="1"/>
    <xf numFmtId="17" fontId="0" fillId="0" borderId="11" xfId="0" applyNumberFormat="1" applyBorder="1" applyAlignment="1">
      <alignment horizontal="right"/>
    </xf>
    <xf numFmtId="17" fontId="0" fillId="0" borderId="11" xfId="0" applyNumberFormat="1" applyBorder="1"/>
    <xf numFmtId="165" fontId="0" fillId="0" borderId="11" xfId="1" applyNumberFormat="1" applyFont="1" applyBorder="1" applyAlignment="1">
      <alignment horizontal="center" vertical="center"/>
    </xf>
    <xf numFmtId="165" fontId="0" fillId="0" borderId="11" xfId="1" applyNumberFormat="1" applyFont="1" applyBorder="1"/>
    <xf numFmtId="165" fontId="0" fillId="0" borderId="11" xfId="1" applyNumberFormat="1" applyFont="1" applyFill="1" applyBorder="1"/>
    <xf numFmtId="15" fontId="0" fillId="0" borderId="11" xfId="0" applyNumberFormat="1" applyBorder="1"/>
    <xf numFmtId="15" fontId="0" fillId="0" borderId="11" xfId="0" applyNumberFormat="1" applyBorder="1" applyAlignment="1">
      <alignment horizontal="right"/>
    </xf>
    <xf numFmtId="0" fontId="0" fillId="0" borderId="12" xfId="0" applyBorder="1"/>
    <xf numFmtId="165" fontId="3" fillId="2" borderId="1" xfId="1" applyNumberFormat="1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65" fontId="0" fillId="0" borderId="3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8" fontId="5" fillId="0" borderId="1" xfId="0" applyNumberFormat="1" applyFont="1" applyBorder="1" applyAlignment="1">
      <alignment horizontal="left" wrapText="1"/>
    </xf>
    <xf numFmtId="4" fontId="0" fillId="0" borderId="0" xfId="0" applyNumberFormat="1" applyAlignment="1">
      <alignment wrapText="1"/>
    </xf>
    <xf numFmtId="14" fontId="5" fillId="0" borderId="1" xfId="0" applyNumberFormat="1" applyFont="1" applyBorder="1" applyAlignment="1">
      <alignment horizontal="left" wrapText="1"/>
    </xf>
    <xf numFmtId="165" fontId="3" fillId="0" borderId="0" xfId="1" applyNumberFormat="1" applyFont="1" applyFill="1" applyBorder="1" applyAlignment="1">
      <alignment wrapText="1"/>
    </xf>
    <xf numFmtId="168" fontId="2" fillId="0" borderId="1" xfId="0" applyNumberFormat="1" applyFont="1" applyBorder="1" applyAlignment="1">
      <alignment horizontal="left" wrapText="1"/>
    </xf>
    <xf numFmtId="15" fontId="0" fillId="0" borderId="0" xfId="0" applyNumberFormat="1"/>
    <xf numFmtId="14" fontId="0" fillId="0" borderId="0" xfId="0" applyNumberFormat="1"/>
    <xf numFmtId="15" fontId="0" fillId="0" borderId="1" xfId="0" applyNumberFormat="1" applyBorder="1" applyAlignment="1">
      <alignment wrapText="1"/>
    </xf>
    <xf numFmtId="0" fontId="7" fillId="0" borderId="0" xfId="0" applyFont="1"/>
    <xf numFmtId="15" fontId="3" fillId="0" borderId="1" xfId="0" applyNumberFormat="1" applyFont="1" applyBorder="1" applyAlignment="1">
      <alignment horizontal="right"/>
    </xf>
    <xf numFmtId="165" fontId="2" fillId="0" borderId="1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8" fillId="0" borderId="0" xfId="2" applyAlignment="1">
      <alignment horizontal="center" vertical="center"/>
    </xf>
    <xf numFmtId="0" fontId="10" fillId="0" borderId="0" xfId="2" applyFont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2" fontId="0" fillId="0" borderId="1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13" fillId="0" borderId="13" xfId="7" applyFont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7" fontId="0" fillId="3" borderId="1" xfId="0" applyNumberForma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  <xf numFmtId="165" fontId="1" fillId="3" borderId="1" xfId="1" applyNumberFormat="1" applyFont="1" applyFill="1" applyBorder="1" applyAlignment="1">
      <alignment horizontal="center" vertical="center"/>
    </xf>
    <xf numFmtId="165" fontId="0" fillId="0" borderId="1" xfId="1" applyNumberFormat="1" applyFont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0" fontId="8" fillId="0" borderId="0" xfId="2" applyAlignment="1">
      <alignment vertical="center"/>
    </xf>
    <xf numFmtId="0" fontId="11" fillId="0" borderId="0" xfId="2" applyFont="1" applyAlignment="1">
      <alignment vertical="center"/>
    </xf>
    <xf numFmtId="3" fontId="8" fillId="0" borderId="0" xfId="2" applyNumberFormat="1" applyAlignment="1">
      <alignment vertical="center"/>
    </xf>
    <xf numFmtId="0" fontId="5" fillId="0" borderId="0" xfId="0" applyFont="1" applyAlignment="1">
      <alignment vertical="center"/>
    </xf>
    <xf numFmtId="164" fontId="8" fillId="0" borderId="0" xfId="2" applyNumberFormat="1" applyAlignment="1">
      <alignment vertical="center"/>
    </xf>
    <xf numFmtId="165" fontId="8" fillId="0" borderId="0" xfId="1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169" fontId="8" fillId="0" borderId="0" xfId="2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0" fontId="0" fillId="0" borderId="0" xfId="6" applyNumberFormat="1" applyFont="1" applyAlignment="1">
      <alignment vertical="center"/>
    </xf>
    <xf numFmtId="2" fontId="0" fillId="0" borderId="1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165" fontId="0" fillId="0" borderId="1" xfId="1" applyNumberFormat="1" applyFont="1" applyFill="1" applyBorder="1" applyAlignment="1">
      <alignment vertical="center"/>
    </xf>
    <xf numFmtId="165" fontId="0" fillId="3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3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" fontId="16" fillId="3" borderId="1" xfId="0" applyNumberFormat="1" applyFont="1" applyFill="1" applyBorder="1" applyAlignment="1">
      <alignment horizontal="center" vertical="center"/>
    </xf>
    <xf numFmtId="165" fontId="17" fillId="3" borderId="1" xfId="1" applyNumberFormat="1" applyFont="1" applyFill="1" applyBorder="1" applyAlignment="1">
      <alignment horizontal="center" vertical="center"/>
    </xf>
    <xf numFmtId="165" fontId="16" fillId="3" borderId="1" xfId="1" applyNumberFormat="1" applyFont="1" applyFill="1" applyBorder="1" applyAlignment="1">
      <alignment horizontal="center" vertical="center"/>
    </xf>
    <xf numFmtId="17" fontId="16" fillId="3" borderId="0" xfId="0" applyNumberFormat="1" applyFont="1" applyFill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13" fillId="0" borderId="0" xfId="7" applyFont="1" applyAlignment="1">
      <alignment horizontal="left" vertical="center" wrapText="1"/>
    </xf>
    <xf numFmtId="0" fontId="13" fillId="0" borderId="0" xfId="7" applyFont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171" fontId="18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2" fontId="1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49" fontId="23" fillId="0" borderId="1" xfId="9" applyNumberFormat="1" applyFont="1" applyFill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10" fontId="18" fillId="0" borderId="1" xfId="5" applyNumberFormat="1" applyFont="1" applyFill="1" applyBorder="1" applyAlignment="1">
      <alignment horizontal="center"/>
    </xf>
    <xf numFmtId="2" fontId="8" fillId="0" borderId="1" xfId="1" applyNumberFormat="1" applyFont="1" applyFill="1" applyBorder="1" applyAlignment="1">
      <alignment horizontal="center" vertical="top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2" fontId="18" fillId="0" borderId="1" xfId="1" applyNumberFormat="1" applyFont="1" applyFill="1" applyBorder="1" applyAlignment="1">
      <alignment horizontal="center"/>
    </xf>
    <xf numFmtId="10" fontId="23" fillId="0" borderId="1" xfId="5" applyNumberFormat="1" applyFont="1" applyFill="1" applyBorder="1" applyAlignment="1">
      <alignment horizontal="center"/>
    </xf>
    <xf numFmtId="0" fontId="8" fillId="0" borderId="1" xfId="2" applyBorder="1" applyAlignment="1">
      <alignment horizontal="center" vertical="center"/>
    </xf>
    <xf numFmtId="170" fontId="10" fillId="0" borderId="1" xfId="2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0" fontId="10" fillId="0" borderId="1" xfId="8" applyFont="1" applyBorder="1" applyAlignment="1">
      <alignment horizontal="center" vertical="center" wrapText="1"/>
    </xf>
    <xf numFmtId="0" fontId="24" fillId="3" borderId="1" xfId="8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/>
    </xf>
    <xf numFmtId="0" fontId="25" fillId="0" borderId="1" xfId="8" applyFont="1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/>
    </xf>
    <xf numFmtId="1" fontId="0" fillId="2" borderId="1" xfId="1" applyNumberFormat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" fontId="0" fillId="0" borderId="1" xfId="0" applyNumberFormat="1" applyBorder="1"/>
    <xf numFmtId="17" fontId="0" fillId="6" borderId="0" xfId="0" applyNumberFormat="1" applyFill="1" applyAlignment="1">
      <alignment horizontal="center"/>
    </xf>
    <xf numFmtId="17" fontId="0" fillId="0" borderId="0" xfId="0" applyNumberFormat="1" applyAlignment="1">
      <alignment horizontal="left" vertical="top"/>
    </xf>
    <xf numFmtId="2" fontId="0" fillId="6" borderId="1" xfId="1" applyNumberFormat="1" applyFont="1" applyFill="1" applyBorder="1" applyAlignment="1">
      <alignment horizontal="center" vertical="center"/>
    </xf>
    <xf numFmtId="1" fontId="5" fillId="6" borderId="1" xfId="1" applyNumberFormat="1" applyFont="1" applyFill="1" applyBorder="1" applyAlignment="1">
      <alignment horizontal="center" vertical="center"/>
    </xf>
    <xf numFmtId="2" fontId="5" fillId="6" borderId="1" xfId="1" applyNumberFormat="1" applyFont="1" applyFill="1" applyBorder="1" applyAlignment="1">
      <alignment horizontal="center" vertical="center"/>
    </xf>
    <xf numFmtId="165" fontId="5" fillId="6" borderId="1" xfId="1" applyNumberFormat="1" applyFont="1" applyFill="1" applyBorder="1" applyAlignment="1">
      <alignment horizontal="center" vertical="center"/>
    </xf>
    <xf numFmtId="165" fontId="0" fillId="6" borderId="1" xfId="1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3" fillId="0" borderId="13" xfId="7" applyFont="1" applyBorder="1" applyAlignment="1">
      <alignment horizontal="center" vertical="center" wrapText="1"/>
    </xf>
    <xf numFmtId="0" fontId="13" fillId="0" borderId="15" xfId="7" applyFont="1" applyBorder="1" applyAlignment="1">
      <alignment horizontal="center" vertical="center" wrapText="1"/>
    </xf>
    <xf numFmtId="0" fontId="13" fillId="0" borderId="14" xfId="7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</cellXfs>
  <cellStyles count="10">
    <cellStyle name="Comma" xfId="1" builtinId="3"/>
    <cellStyle name="Comma 2" xfId="3" xr:uid="{00000000-0005-0000-0000-000001000000}"/>
    <cellStyle name="Comma 2 2" xfId="9" xr:uid="{2D776A1F-62D7-46CA-AC69-5BB071C7727C}"/>
    <cellStyle name="Normal" xfId="0" builtinId="0"/>
    <cellStyle name="Normal 16" xfId="8" xr:uid="{00000000-0005-0000-0000-000003000000}"/>
    <cellStyle name="Normal 17" xfId="7" xr:uid="{00000000-0005-0000-0000-000004000000}"/>
    <cellStyle name="Normal 2" xfId="2" xr:uid="{00000000-0005-0000-0000-000005000000}"/>
    <cellStyle name="Normal 3" xfId="4" xr:uid="{00000000-0005-0000-0000-000006000000}"/>
    <cellStyle name="Percent" xfId="6" builtinId="5"/>
    <cellStyle name="Percent 2" xfId="5" xr:uid="{00000000-0005-0000-0000-000008000000}"/>
  </cellStyles>
  <dxfs count="10">
    <dxf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2" formatCode="mmm/yy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2" formatCode="mmm/yy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indexed="64"/>
        </top>
        <bottom style="medium">
          <color indexed="64"/>
        </bottom>
      </border>
    </dxf>
    <dxf>
      <numFmt numFmtId="165" formatCode="_(* #,##0_);_(* \(#,##0\);_(* &quot;-&quot;??_);_(@_)"/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24:I92" totalsRowShown="0" headerRowDxfId="9" dataDxfId="7" headerRowBorderDxfId="8" tableBorderDxfId="6">
  <tableColumns count="8">
    <tableColumn id="1" xr3:uid="{00000000-0010-0000-0000-000001000000}" name="Month" dataDxfId="5"/>
    <tableColumn id="8" xr3:uid="{7524EB4B-82A2-4589-B47F-C1259CBF5E96}" name="From"/>
    <tableColumn id="7" xr3:uid="{FABBA9D0-6DF7-4569-BD1C-2621788CB040}" name="To"/>
    <tableColumn id="2" xr3:uid="{00000000-0010-0000-0000-000002000000}" name="Feeder No. " dataDxfId="4"/>
    <tableColumn id="3" xr3:uid="{00000000-0010-0000-0000-000003000000}" name="Export Unit (kWh)" dataDxfId="3"/>
    <tableColumn id="4" xr3:uid="{00000000-0010-0000-0000-000004000000}" name="Import Unit (kWh)" dataDxfId="2"/>
    <tableColumn id="5" xr3:uid="{00000000-0010-0000-0000-000005000000}" name="Net Unit Billed (kWh)" dataDxfId="1">
      <calculatedColumnFormula>F25-G25</calculatedColumnFormula>
    </tableColumn>
    <tableColumn id="6" xr3:uid="{00000000-0010-0000-0000-000006000000}" name="Invoice Values (kWh)" dataDxfId="0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showGridLines="0" tabSelected="1" zoomScale="90" zoomScaleNormal="90" workbookViewId="0">
      <selection activeCell="G1" sqref="G1"/>
    </sheetView>
  </sheetViews>
  <sheetFormatPr defaultColWidth="9.109375" defaultRowHeight="13.2"/>
  <cols>
    <col min="1" max="1" width="8.44140625" style="96" bestFit="1" customWidth="1"/>
    <col min="2" max="2" width="41.44140625" style="96" customWidth="1"/>
    <col min="3" max="3" width="14.88671875" style="96" customWidth="1"/>
    <col min="4" max="4" width="9.109375" style="96"/>
    <col min="5" max="5" width="11.77734375" style="96" customWidth="1"/>
    <col min="6" max="7" width="22.44140625" style="96" bestFit="1" customWidth="1"/>
    <col min="8" max="8" width="10.5546875" style="96" bestFit="1" customWidth="1"/>
    <col min="9" max="9" width="14.44140625" style="96" customWidth="1"/>
    <col min="10" max="16384" width="9.109375" style="96"/>
  </cols>
  <sheetData>
    <row r="1" spans="1:8" ht="42" thickBot="1">
      <c r="A1" s="88" t="s">
        <v>104</v>
      </c>
      <c r="B1" s="183" t="s">
        <v>103</v>
      </c>
      <c r="C1" s="184"/>
      <c r="D1" s="184"/>
      <c r="E1" s="184"/>
      <c r="F1" s="185"/>
    </row>
    <row r="2" spans="1:8" ht="13.8">
      <c r="A2" s="135"/>
      <c r="B2" s="136"/>
      <c r="C2" s="136"/>
      <c r="D2" s="136"/>
      <c r="E2" s="136"/>
      <c r="F2" s="136"/>
    </row>
    <row r="3" spans="1:8" ht="13.8">
      <c r="A3" s="135"/>
      <c r="B3" s="186" t="s">
        <v>116</v>
      </c>
      <c r="C3" s="187"/>
      <c r="D3" s="190" t="s">
        <v>117</v>
      </c>
      <c r="E3" s="137" t="s">
        <v>118</v>
      </c>
      <c r="F3" s="192" t="s">
        <v>135</v>
      </c>
      <c r="G3" s="192" t="s">
        <v>136</v>
      </c>
      <c r="H3" s="178" t="s">
        <v>10</v>
      </c>
    </row>
    <row r="4" spans="1:8" ht="13.8">
      <c r="A4" s="135"/>
      <c r="B4" s="188"/>
      <c r="C4" s="189"/>
      <c r="D4" s="191"/>
      <c r="E4" s="138" t="s">
        <v>119</v>
      </c>
      <c r="F4" s="193"/>
      <c r="G4" s="193"/>
      <c r="H4" s="178"/>
    </row>
    <row r="5" spans="1:8" ht="15.6">
      <c r="A5" s="135"/>
      <c r="B5" s="179" t="s">
        <v>120</v>
      </c>
      <c r="C5" s="180"/>
      <c r="D5" s="139" t="s">
        <v>121</v>
      </c>
      <c r="E5" s="140" t="s">
        <v>122</v>
      </c>
      <c r="F5" s="141">
        <f>ROUNDDOWN(((Punjab!G15+Punjab!L15+Punjab!Q15+AP!G16+AP!H47+AP!H83+AP!G106+AP!G127+CG!E14+Odisha!G14+Uttarakhand!G14+Telangana!G15+Telangana!G35)/1000),0)</f>
        <v>624516</v>
      </c>
      <c r="G5" s="141">
        <f>ROUNDDOWN(((Punjab!G20+Punjab!L20+Punjab!Q20+AP!G22+AP!H56+AP!H92+AP!G111+AP!G133+CG!E19+Odisha!G19+Uttarakhand!G19+Telangana!G20+Telangana!G40)/1000),0)</f>
        <v>199315</v>
      </c>
      <c r="H5" s="153">
        <f>ROUNDDOWN((SUM(F5:G5)),0)</f>
        <v>823831</v>
      </c>
    </row>
    <row r="6" spans="1:8" ht="15.6">
      <c r="A6" s="135"/>
      <c r="B6" s="181" t="s">
        <v>123</v>
      </c>
      <c r="C6" s="182"/>
      <c r="D6" s="142" t="s">
        <v>124</v>
      </c>
      <c r="E6" s="143" t="s">
        <v>125</v>
      </c>
      <c r="F6" s="144">
        <v>0.97770000000000001</v>
      </c>
      <c r="G6" s="144">
        <v>0.97770000000000001</v>
      </c>
      <c r="H6" s="144">
        <v>0.97770000000000001</v>
      </c>
    </row>
    <row r="7" spans="1:8" ht="15.6">
      <c r="A7" s="135"/>
      <c r="B7" s="179" t="s">
        <v>126</v>
      </c>
      <c r="C7" s="180"/>
      <c r="D7" s="145" t="s">
        <v>127</v>
      </c>
      <c r="E7" s="143" t="s">
        <v>128</v>
      </c>
      <c r="F7" s="146">
        <f t="shared" ref="F7:G7" si="0">ROUNDDOWN((F5*F6),0)</f>
        <v>610589</v>
      </c>
      <c r="G7" s="146">
        <f t="shared" si="0"/>
        <v>194870</v>
      </c>
      <c r="H7" s="154">
        <f>ROUNDDOWN(((SUM(F7:G7))),0)</f>
        <v>805459</v>
      </c>
    </row>
    <row r="8" spans="1:8" ht="15.6">
      <c r="A8" s="135"/>
      <c r="B8" s="179" t="s">
        <v>129</v>
      </c>
      <c r="C8" s="180"/>
      <c r="D8" s="145" t="s">
        <v>130</v>
      </c>
      <c r="E8" s="143" t="s">
        <v>128</v>
      </c>
      <c r="F8" s="146">
        <v>0</v>
      </c>
      <c r="G8" s="146">
        <v>0</v>
      </c>
      <c r="H8" s="154">
        <f>SUM(C8:G8)</f>
        <v>0</v>
      </c>
    </row>
    <row r="9" spans="1:8" ht="15.6">
      <c r="A9" s="135"/>
      <c r="B9" s="179" t="s">
        <v>131</v>
      </c>
      <c r="C9" s="180"/>
      <c r="D9" s="145" t="s">
        <v>132</v>
      </c>
      <c r="E9" s="143" t="s">
        <v>128</v>
      </c>
      <c r="F9" s="146">
        <v>0</v>
      </c>
      <c r="G9" s="146">
        <v>0</v>
      </c>
      <c r="H9" s="154">
        <f>SUM(C9:G9)</f>
        <v>0</v>
      </c>
    </row>
    <row r="10" spans="1:8" ht="22.2" customHeight="1">
      <c r="A10" s="135"/>
      <c r="B10" s="179" t="s">
        <v>133</v>
      </c>
      <c r="C10" s="180"/>
      <c r="D10" s="147" t="s">
        <v>134</v>
      </c>
      <c r="E10" s="148" t="s">
        <v>128</v>
      </c>
      <c r="F10" s="149">
        <f>F7-F8-F9</f>
        <v>610589</v>
      </c>
      <c r="G10" s="149">
        <f t="shared" ref="G10" si="1">G7-G8-G9</f>
        <v>194870</v>
      </c>
      <c r="H10" s="155">
        <f>SUM(F10:G10)</f>
        <v>805459</v>
      </c>
    </row>
    <row r="11" spans="1:8">
      <c r="H11" s="156"/>
    </row>
    <row r="12" spans="1:8" ht="15.6">
      <c r="B12" s="177" t="s">
        <v>137</v>
      </c>
      <c r="C12" s="177"/>
      <c r="D12" s="177"/>
      <c r="E12" s="143" t="s">
        <v>138</v>
      </c>
      <c r="F12" s="146">
        <f>F10</f>
        <v>610589</v>
      </c>
      <c r="G12" s="146">
        <f t="shared" ref="G12" si="2">G10</f>
        <v>194870</v>
      </c>
      <c r="H12" s="157">
        <f>SUM(F12:G12)</f>
        <v>805459</v>
      </c>
    </row>
    <row r="13" spans="1:8">
      <c r="B13" s="177" t="s">
        <v>139</v>
      </c>
      <c r="C13" s="177"/>
      <c r="D13" s="177"/>
      <c r="E13" s="150"/>
      <c r="F13" s="151">
        <v>44958</v>
      </c>
      <c r="G13" s="151">
        <v>45292</v>
      </c>
      <c r="H13" s="151">
        <v>44958</v>
      </c>
    </row>
    <row r="14" spans="1:8">
      <c r="B14" s="177" t="s">
        <v>140</v>
      </c>
      <c r="C14" s="177"/>
      <c r="D14" s="177"/>
      <c r="E14" s="150"/>
      <c r="F14" s="151">
        <v>45291</v>
      </c>
      <c r="G14" s="151">
        <v>45397</v>
      </c>
      <c r="H14" s="151">
        <v>45397</v>
      </c>
    </row>
    <row r="15" spans="1:8">
      <c r="B15" s="177" t="s">
        <v>141</v>
      </c>
      <c r="C15" s="177"/>
      <c r="D15" s="177"/>
      <c r="E15" s="143" t="s">
        <v>142</v>
      </c>
      <c r="F15" s="146">
        <f>F14-F13+1</f>
        <v>334</v>
      </c>
      <c r="G15" s="146">
        <f t="shared" ref="G15:H15" si="3">G14-G13+1</f>
        <v>106</v>
      </c>
      <c r="H15" s="146">
        <f t="shared" si="3"/>
        <v>440</v>
      </c>
    </row>
    <row r="16" spans="1:8" ht="15.6">
      <c r="B16" s="177" t="s">
        <v>143</v>
      </c>
      <c r="C16" s="177"/>
      <c r="D16" s="177"/>
      <c r="E16" s="143" t="s">
        <v>138</v>
      </c>
      <c r="F16" s="146">
        <f>ROUNDDOWN((730457/365*F15),0)</f>
        <v>668418</v>
      </c>
      <c r="G16" s="146">
        <f>ROUNDDOWN((730457/365*G15),0)</f>
        <v>212132</v>
      </c>
      <c r="H16" s="146">
        <f>ROUNDDOWN((730457/365*H15),0)</f>
        <v>880550</v>
      </c>
    </row>
    <row r="17" spans="1:11">
      <c r="B17" s="177" t="s">
        <v>144</v>
      </c>
      <c r="C17" s="177"/>
      <c r="D17" s="177"/>
      <c r="E17" s="152" t="s">
        <v>145</v>
      </c>
      <c r="F17" s="152">
        <f t="shared" ref="F17:H17" si="4">(F12-F16)/F16</f>
        <v>-8.6499999999999994E-2</v>
      </c>
      <c r="G17" s="152">
        <f t="shared" si="4"/>
        <v>-8.14E-2</v>
      </c>
      <c r="H17" s="158">
        <f t="shared" si="4"/>
        <v>-8.5300000000000001E-2</v>
      </c>
    </row>
    <row r="19" spans="1:11" s="81" customFormat="1" ht="147.6">
      <c r="A19" s="162" t="s">
        <v>86</v>
      </c>
      <c r="B19" s="162" t="s">
        <v>87</v>
      </c>
      <c r="C19" s="162" t="s">
        <v>88</v>
      </c>
      <c r="D19" s="162" t="s">
        <v>80</v>
      </c>
      <c r="E19" s="162" t="s">
        <v>163</v>
      </c>
      <c r="F19" s="96"/>
      <c r="G19" s="96"/>
      <c r="H19" s="99"/>
      <c r="I19" s="99"/>
      <c r="J19" s="99"/>
    </row>
    <row r="20" spans="1:11" s="81" customFormat="1" ht="14.4">
      <c r="A20" s="163">
        <v>1</v>
      </c>
      <c r="B20" s="140" t="s">
        <v>146</v>
      </c>
      <c r="C20" s="140" t="s">
        <v>100</v>
      </c>
      <c r="D20" s="140">
        <v>24</v>
      </c>
      <c r="E20" s="149">
        <f>(Punjab!G15+Punjab!G20)/1000</f>
        <v>44084.87</v>
      </c>
      <c r="F20" s="96"/>
      <c r="G20" s="96"/>
      <c r="H20" s="64"/>
      <c r="I20" s="64"/>
      <c r="J20" s="64"/>
    </row>
    <row r="21" spans="1:11" ht="14.4">
      <c r="A21" s="159">
        <v>2</v>
      </c>
      <c r="B21" s="140" t="s">
        <v>147</v>
      </c>
      <c r="C21" s="140" t="s">
        <v>100</v>
      </c>
      <c r="D21" s="140">
        <v>25</v>
      </c>
      <c r="E21" s="149">
        <f>(Punjab!L15+Punjab!L20)/1000</f>
        <v>46052.5</v>
      </c>
      <c r="H21" s="64"/>
      <c r="I21" s="64"/>
      <c r="J21" s="64"/>
    </row>
    <row r="22" spans="1:11" ht="14.4">
      <c r="A22" s="159">
        <v>3</v>
      </c>
      <c r="B22" s="140" t="s">
        <v>148</v>
      </c>
      <c r="C22" s="140" t="s">
        <v>100</v>
      </c>
      <c r="D22" s="140">
        <v>25</v>
      </c>
      <c r="E22" s="149">
        <f>(Punjab!Q15+Punjab!Q20)/1000</f>
        <v>47355.7</v>
      </c>
      <c r="H22" s="64"/>
      <c r="I22" s="64"/>
      <c r="J22" s="64"/>
    </row>
    <row r="23" spans="1:11" ht="14.4">
      <c r="A23" s="159">
        <v>4</v>
      </c>
      <c r="B23" s="140" t="s">
        <v>91</v>
      </c>
      <c r="C23" s="140" t="s">
        <v>90</v>
      </c>
      <c r="D23" s="140">
        <v>20</v>
      </c>
      <c r="E23" s="149">
        <f>(AP!H47+AP!H56)/1000</f>
        <v>42836</v>
      </c>
      <c r="H23" s="64"/>
      <c r="I23" s="64"/>
      <c r="J23" s="64"/>
      <c r="K23" s="100"/>
    </row>
    <row r="24" spans="1:11" ht="14.4">
      <c r="A24" s="159">
        <v>5</v>
      </c>
      <c r="B24" s="140" t="s">
        <v>92</v>
      </c>
      <c r="C24" s="140" t="s">
        <v>90</v>
      </c>
      <c r="D24" s="140">
        <v>50</v>
      </c>
      <c r="E24" s="149">
        <f>(AP!G16+AP!G22)/1000</f>
        <v>106914.46</v>
      </c>
      <c r="H24" s="64"/>
      <c r="I24" s="64"/>
      <c r="J24" s="64"/>
    </row>
    <row r="25" spans="1:11" ht="14.4">
      <c r="A25" s="159">
        <v>6</v>
      </c>
      <c r="B25" s="140" t="s">
        <v>93</v>
      </c>
      <c r="C25" s="140" t="s">
        <v>90</v>
      </c>
      <c r="D25" s="140">
        <v>40</v>
      </c>
      <c r="E25" s="149">
        <f>(AP!G106+AP!G111)/1000</f>
        <v>91875</v>
      </c>
      <c r="H25" s="64"/>
      <c r="I25" s="64"/>
      <c r="J25" s="64"/>
    </row>
    <row r="26" spans="1:11" ht="14.4">
      <c r="A26" s="159">
        <v>7</v>
      </c>
      <c r="B26" s="140" t="s">
        <v>94</v>
      </c>
      <c r="C26" s="140" t="s">
        <v>90</v>
      </c>
      <c r="D26" s="140">
        <v>20</v>
      </c>
      <c r="E26" s="149">
        <f>(AP!H83+AP!H92)/1000</f>
        <v>41712</v>
      </c>
      <c r="H26" s="64"/>
      <c r="I26" s="64"/>
      <c r="J26" s="64"/>
    </row>
    <row r="27" spans="1:11" ht="14.4">
      <c r="A27" s="159">
        <v>8</v>
      </c>
      <c r="B27" s="140" t="s">
        <v>95</v>
      </c>
      <c r="C27" s="140" t="s">
        <v>90</v>
      </c>
      <c r="D27" s="140">
        <v>30</v>
      </c>
      <c r="E27" s="149">
        <f>(AP!G127+AP!G133)/1000</f>
        <v>66604.75</v>
      </c>
      <c r="H27" s="64"/>
      <c r="I27" s="64"/>
      <c r="J27" s="64"/>
    </row>
    <row r="28" spans="1:11">
      <c r="A28" s="159">
        <v>9</v>
      </c>
      <c r="B28" s="140" t="s">
        <v>96</v>
      </c>
      <c r="C28" s="140" t="s">
        <v>101</v>
      </c>
      <c r="D28" s="140">
        <v>30</v>
      </c>
      <c r="E28" s="149">
        <f>(CG!E14+CG!E19)/1000</f>
        <v>56201.3</v>
      </c>
      <c r="H28" s="82"/>
      <c r="I28" s="101"/>
    </row>
    <row r="29" spans="1:11">
      <c r="A29" s="159">
        <v>10</v>
      </c>
      <c r="B29" s="140" t="s">
        <v>97</v>
      </c>
      <c r="C29" s="140" t="s">
        <v>89</v>
      </c>
      <c r="D29" s="140">
        <v>30</v>
      </c>
      <c r="E29" s="149">
        <f>(Telangana!G15+Telangana!G20)/1000</f>
        <v>74810.850000000006</v>
      </c>
      <c r="H29" s="82"/>
      <c r="I29" s="101"/>
    </row>
    <row r="30" spans="1:11">
      <c r="A30" s="159">
        <v>11</v>
      </c>
      <c r="B30" s="140" t="s">
        <v>98</v>
      </c>
      <c r="C30" s="140" t="s">
        <v>89</v>
      </c>
      <c r="D30" s="140">
        <v>50</v>
      </c>
      <c r="E30" s="149">
        <f>(Telangana!G35+Telangana!G40)/1000</f>
        <v>125849</v>
      </c>
      <c r="H30" s="82"/>
      <c r="I30" s="101"/>
    </row>
    <row r="31" spans="1:11">
      <c r="A31" s="159">
        <v>12</v>
      </c>
      <c r="B31" s="140" t="s">
        <v>99</v>
      </c>
      <c r="C31" s="140" t="s">
        <v>39</v>
      </c>
      <c r="D31" s="140">
        <v>25</v>
      </c>
      <c r="E31" s="149">
        <f>(Odisha!G14+Odisha!G19)/1000</f>
        <v>54649.68</v>
      </c>
      <c r="H31" s="82"/>
      <c r="I31" s="101"/>
    </row>
    <row r="32" spans="1:11">
      <c r="A32" s="159">
        <v>13</v>
      </c>
      <c r="B32" s="140" t="s">
        <v>75</v>
      </c>
      <c r="C32" s="140" t="s">
        <v>102</v>
      </c>
      <c r="D32" s="140">
        <v>12.5</v>
      </c>
      <c r="E32" s="149">
        <f>(Uttarakhand!G14+Uttarakhand!G19)/1000</f>
        <v>24885.200000000001</v>
      </c>
      <c r="H32" s="82"/>
      <c r="I32" s="101"/>
    </row>
    <row r="33" spans="1:9">
      <c r="A33" s="159"/>
      <c r="B33" s="164" t="s">
        <v>10</v>
      </c>
      <c r="C33" s="165"/>
      <c r="D33" s="160">
        <f>SUM(D20:D32)</f>
        <v>381.5</v>
      </c>
      <c r="E33" s="161">
        <f>ROUNDDOWN(SUM(E20:E32),0)</f>
        <v>823831</v>
      </c>
    </row>
    <row r="34" spans="1:9" ht="14.4">
      <c r="B34" s="97"/>
      <c r="C34" s="97"/>
      <c r="D34" s="97"/>
      <c r="E34" s="97"/>
      <c r="F34" s="102"/>
      <c r="I34" s="100"/>
    </row>
    <row r="35" spans="1:9">
      <c r="F35" s="98"/>
    </row>
    <row r="36" spans="1:9">
      <c r="F36" s="103"/>
    </row>
  </sheetData>
  <mergeCells count="18">
    <mergeCell ref="B1:F1"/>
    <mergeCell ref="B3:C4"/>
    <mergeCell ref="D3:D4"/>
    <mergeCell ref="F3:F4"/>
    <mergeCell ref="G3:G4"/>
    <mergeCell ref="B16:D16"/>
    <mergeCell ref="B17:D17"/>
    <mergeCell ref="H3:H4"/>
    <mergeCell ref="B10:C10"/>
    <mergeCell ref="B12:D12"/>
    <mergeCell ref="B13:D13"/>
    <mergeCell ref="B14:D14"/>
    <mergeCell ref="B15:D15"/>
    <mergeCell ref="B5:C5"/>
    <mergeCell ref="B6:C6"/>
    <mergeCell ref="B7:C7"/>
    <mergeCell ref="B8:C8"/>
    <mergeCell ref="B9:C9"/>
  </mergeCells>
  <phoneticPr fontId="1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2:J31"/>
  <sheetViews>
    <sheetView topLeftCell="A3" workbookViewId="0">
      <selection activeCell="A30" sqref="A30"/>
    </sheetView>
  </sheetViews>
  <sheetFormatPr defaultRowHeight="14.4"/>
  <cols>
    <col min="1" max="1" width="15.5546875" bestFit="1" customWidth="1"/>
    <col min="2" max="2" width="9" customWidth="1"/>
    <col min="3" max="3" width="17.6640625" bestFit="1" customWidth="1"/>
    <col min="4" max="4" width="10.5546875" bestFit="1" customWidth="1"/>
    <col min="5" max="5" width="8" bestFit="1" customWidth="1"/>
    <col min="6" max="6" width="10.5546875" bestFit="1" customWidth="1"/>
    <col min="7" max="7" width="11.5546875" bestFit="1" customWidth="1"/>
    <col min="8" max="8" width="8.88671875" bestFit="1" customWidth="1"/>
    <col min="9" max="9" width="9.88671875" bestFit="1" customWidth="1"/>
    <col min="10" max="10" width="10.88671875" bestFit="1" customWidth="1"/>
  </cols>
  <sheetData>
    <row r="2" spans="1:10" ht="15" thickBot="1">
      <c r="A2" s="36"/>
      <c r="B2" s="36"/>
    </row>
    <row r="3" spans="1:10" s="35" customFormat="1" ht="28.8">
      <c r="A3" s="44" t="s">
        <v>53</v>
      </c>
      <c r="B3" s="45" t="s">
        <v>51</v>
      </c>
      <c r="C3" s="45" t="s">
        <v>52</v>
      </c>
      <c r="D3" s="45" t="s">
        <v>1</v>
      </c>
      <c r="E3" s="45" t="s">
        <v>2</v>
      </c>
      <c r="F3" s="45" t="s">
        <v>3</v>
      </c>
      <c r="G3" s="45" t="s">
        <v>4</v>
      </c>
      <c r="H3" s="45" t="s">
        <v>5</v>
      </c>
      <c r="I3" s="45" t="s">
        <v>6</v>
      </c>
      <c r="J3" s="46"/>
    </row>
    <row r="4" spans="1:10" s="35" customFormat="1">
      <c r="A4" s="47" t="s">
        <v>0</v>
      </c>
      <c r="B4" s="39"/>
      <c r="C4" s="39"/>
      <c r="D4" s="37"/>
      <c r="E4" s="37"/>
      <c r="F4" s="37"/>
      <c r="G4" s="37"/>
      <c r="H4" s="37"/>
      <c r="I4" s="37"/>
      <c r="J4" s="48"/>
    </row>
    <row r="5" spans="1:10">
      <c r="A5" s="49"/>
      <c r="B5" s="43">
        <v>42522</v>
      </c>
      <c r="C5" s="38"/>
      <c r="D5" s="4">
        <v>2110001</v>
      </c>
      <c r="E5" s="5">
        <v>20315</v>
      </c>
      <c r="F5" s="11">
        <f>D5-E5</f>
        <v>2089686</v>
      </c>
      <c r="G5" s="11">
        <f>F5*15</f>
        <v>31345290</v>
      </c>
      <c r="H5" s="12">
        <v>42559</v>
      </c>
      <c r="I5" s="12">
        <f>H5+30</f>
        <v>42589</v>
      </c>
      <c r="J5" s="50"/>
    </row>
    <row r="6" spans="1:10">
      <c r="A6" s="47" t="s">
        <v>11</v>
      </c>
      <c r="B6" s="43"/>
      <c r="C6" s="39"/>
      <c r="D6" s="2"/>
      <c r="E6" s="2"/>
      <c r="F6" s="2"/>
      <c r="G6" s="2"/>
      <c r="H6" s="2"/>
      <c r="I6" s="2"/>
      <c r="J6" s="50"/>
    </row>
    <row r="7" spans="1:10">
      <c r="A7" s="49"/>
      <c r="B7" s="43">
        <v>42522</v>
      </c>
      <c r="C7" s="2"/>
      <c r="D7" s="14">
        <v>4026100</v>
      </c>
      <c r="E7" s="14">
        <v>30100</v>
      </c>
      <c r="F7" s="11">
        <f>D7-E7</f>
        <v>3996000</v>
      </c>
      <c r="G7" s="11">
        <f>D7*8.05</f>
        <v>32410105</v>
      </c>
      <c r="H7" s="12">
        <v>42553</v>
      </c>
      <c r="I7" s="12">
        <f>H7+30</f>
        <v>42583</v>
      </c>
      <c r="J7" s="50"/>
    </row>
    <row r="8" spans="1:10">
      <c r="A8" s="47" t="s">
        <v>42</v>
      </c>
      <c r="B8" s="43"/>
      <c r="C8" s="2"/>
      <c r="D8" s="2"/>
      <c r="E8" s="2"/>
      <c r="F8" s="2"/>
      <c r="G8" s="2"/>
      <c r="H8" s="2"/>
      <c r="I8" s="2"/>
      <c r="J8" s="50"/>
    </row>
    <row r="9" spans="1:10">
      <c r="A9" s="51"/>
      <c r="B9" s="43">
        <v>42522</v>
      </c>
      <c r="C9" s="2" t="s">
        <v>34</v>
      </c>
      <c r="D9" s="21">
        <v>3710354</v>
      </c>
      <c r="E9" s="21">
        <v>13100</v>
      </c>
      <c r="F9" s="6">
        <f>ROUND(D9-E9,0)</f>
        <v>3697254</v>
      </c>
      <c r="G9" s="8">
        <f>F9*5.45</f>
        <v>20150034</v>
      </c>
      <c r="H9" s="7">
        <v>42557</v>
      </c>
      <c r="I9" s="19">
        <f>H9+60</f>
        <v>42617</v>
      </c>
      <c r="J9" s="50"/>
    </row>
    <row r="10" spans="1:10">
      <c r="A10" s="51"/>
      <c r="B10" s="43">
        <v>42522</v>
      </c>
      <c r="C10" s="2" t="s">
        <v>35</v>
      </c>
      <c r="D10" s="21">
        <v>3671572</v>
      </c>
      <c r="E10" s="21">
        <v>13667</v>
      </c>
      <c r="F10" s="6">
        <f>ROUND(D10-E10,0)</f>
        <v>3657905</v>
      </c>
      <c r="G10" s="8">
        <f>F10*5.45</f>
        <v>19935582</v>
      </c>
      <c r="H10" s="7">
        <v>42557</v>
      </c>
      <c r="I10" s="19">
        <f>H10+60</f>
        <v>42617</v>
      </c>
      <c r="J10" s="50"/>
    </row>
    <row r="11" spans="1:10">
      <c r="A11" s="51"/>
      <c r="B11" s="43">
        <v>42522</v>
      </c>
      <c r="C11" s="2" t="s">
        <v>36</v>
      </c>
      <c r="D11" s="21">
        <v>3843964</v>
      </c>
      <c r="E11" s="21">
        <v>14482</v>
      </c>
      <c r="F11" s="6">
        <f>ROUND(D11-E11,0)</f>
        <v>3829482</v>
      </c>
      <c r="G11" s="8">
        <f>F11*5.45</f>
        <v>20870677</v>
      </c>
      <c r="H11" s="7">
        <v>42557</v>
      </c>
      <c r="I11" s="19">
        <f>H11+60</f>
        <v>42617</v>
      </c>
      <c r="J11" s="50"/>
    </row>
    <row r="12" spans="1:10">
      <c r="A12" s="51"/>
      <c r="B12" s="43">
        <v>42522</v>
      </c>
      <c r="C12" s="2" t="s">
        <v>37</v>
      </c>
      <c r="D12" s="21">
        <v>3608024</v>
      </c>
      <c r="E12" s="21">
        <v>14846</v>
      </c>
      <c r="F12" s="6">
        <f>ROUND(D12-E12,0)</f>
        <v>3593178</v>
      </c>
      <c r="G12" s="8">
        <f>F12*5.45</f>
        <v>19582820</v>
      </c>
      <c r="H12" s="7">
        <v>42557</v>
      </c>
      <c r="I12" s="19">
        <f>H12+60</f>
        <v>42617</v>
      </c>
      <c r="J12" s="50"/>
    </row>
    <row r="13" spans="1:10">
      <c r="A13" s="51"/>
      <c r="B13" s="43">
        <v>42522</v>
      </c>
      <c r="C13" s="2" t="s">
        <v>38</v>
      </c>
      <c r="D13" s="21">
        <v>3602587</v>
      </c>
      <c r="E13" s="21">
        <v>13638</v>
      </c>
      <c r="F13" s="6">
        <f>ROUND(D13-E13,0)</f>
        <v>3588949</v>
      </c>
      <c r="G13" s="8">
        <f>F13*5.45</f>
        <v>19559772</v>
      </c>
      <c r="H13" s="7">
        <v>42557</v>
      </c>
      <c r="I13" s="19">
        <f>H13+60</f>
        <v>42617</v>
      </c>
      <c r="J13" s="50"/>
    </row>
    <row r="14" spans="1:10">
      <c r="A14" s="47" t="s">
        <v>39</v>
      </c>
      <c r="B14" s="43"/>
      <c r="C14" s="2"/>
      <c r="D14" s="2"/>
      <c r="E14" s="2"/>
      <c r="F14" s="2"/>
      <c r="G14" s="2"/>
      <c r="H14" s="2"/>
      <c r="I14" s="2"/>
      <c r="J14" s="50"/>
    </row>
    <row r="15" spans="1:10">
      <c r="A15" s="51"/>
      <c r="B15" s="43">
        <v>42522</v>
      </c>
      <c r="C15" s="17"/>
      <c r="D15" s="15">
        <f>3962.62*1000</f>
        <v>3962620</v>
      </c>
      <c r="E15" s="14">
        <f>24.21*1000</f>
        <v>24210</v>
      </c>
      <c r="F15" s="11">
        <f>D15-E15</f>
        <v>3938410</v>
      </c>
      <c r="G15" s="11">
        <f>F15*7.28</f>
        <v>28671625</v>
      </c>
      <c r="H15" s="12"/>
      <c r="I15" s="12"/>
      <c r="J15" s="50" t="s">
        <v>33</v>
      </c>
    </row>
    <row r="16" spans="1:10">
      <c r="A16" s="47" t="s">
        <v>40</v>
      </c>
      <c r="B16" s="43"/>
      <c r="C16" s="2"/>
      <c r="D16" s="2"/>
      <c r="E16" s="2"/>
      <c r="F16" s="2"/>
      <c r="G16" s="2"/>
      <c r="H16" s="2"/>
      <c r="I16" s="2"/>
      <c r="J16" s="50"/>
    </row>
    <row r="17" spans="1:10">
      <c r="A17" s="51"/>
      <c r="B17" s="43">
        <v>42522</v>
      </c>
      <c r="C17" s="17"/>
      <c r="D17" s="14">
        <v>4033450</v>
      </c>
      <c r="E17" s="14">
        <v>0</v>
      </c>
      <c r="F17" s="6">
        <f>D17</f>
        <v>4033450</v>
      </c>
      <c r="G17" s="6">
        <f>F17*6.46</f>
        <v>26056087</v>
      </c>
      <c r="H17" s="19">
        <v>42555</v>
      </c>
      <c r="I17" s="7">
        <f>H17+60</f>
        <v>42615</v>
      </c>
      <c r="J17" s="50"/>
    </row>
    <row r="18" spans="1:10">
      <c r="A18" s="47" t="s">
        <v>41</v>
      </c>
      <c r="B18" s="43"/>
      <c r="C18" s="2"/>
      <c r="D18" s="2"/>
      <c r="E18" s="2"/>
      <c r="F18" s="2"/>
      <c r="G18" s="2"/>
      <c r="H18" s="2"/>
      <c r="I18" s="2"/>
      <c r="J18" s="50"/>
    </row>
    <row r="19" spans="1:10">
      <c r="A19" s="51"/>
      <c r="B19" s="43">
        <v>42522</v>
      </c>
      <c r="C19" s="40" t="s">
        <v>20</v>
      </c>
      <c r="D19" s="14">
        <v>3169100</v>
      </c>
      <c r="E19" s="14">
        <v>20500</v>
      </c>
      <c r="F19" s="6">
        <f t="shared" ref="F19:F24" si="0">D19-E19</f>
        <v>3148600</v>
      </c>
      <c r="G19" s="6">
        <f>F19*7.06</f>
        <v>22229116</v>
      </c>
      <c r="H19" s="19">
        <v>42553</v>
      </c>
      <c r="I19" s="19">
        <f>H19+60</f>
        <v>42613</v>
      </c>
      <c r="J19" s="50"/>
    </row>
    <row r="20" spans="1:10">
      <c r="A20" s="51"/>
      <c r="B20" s="43">
        <v>42522</v>
      </c>
      <c r="C20" s="40" t="s">
        <v>21</v>
      </c>
      <c r="D20" s="14">
        <v>3165100</v>
      </c>
      <c r="E20" s="14">
        <v>19900</v>
      </c>
      <c r="F20" s="6">
        <f t="shared" si="0"/>
        <v>3145200</v>
      </c>
      <c r="G20" s="6">
        <f>F20*7.06</f>
        <v>22205112</v>
      </c>
      <c r="H20" s="19">
        <v>42553</v>
      </c>
      <c r="I20" s="19">
        <f>H20+60</f>
        <v>42613</v>
      </c>
      <c r="J20" s="50"/>
    </row>
    <row r="21" spans="1:10">
      <c r="A21" s="51"/>
      <c r="B21" s="43">
        <v>42522</v>
      </c>
      <c r="C21" s="40" t="s">
        <v>22</v>
      </c>
      <c r="D21" s="14">
        <v>3178400</v>
      </c>
      <c r="E21" s="14">
        <v>13100</v>
      </c>
      <c r="F21" s="6">
        <f t="shared" si="0"/>
        <v>3165300</v>
      </c>
      <c r="G21" s="6">
        <f>F21*7.16</f>
        <v>22663548</v>
      </c>
      <c r="H21" s="19">
        <v>42553</v>
      </c>
      <c r="I21" s="19">
        <f>H21+60</f>
        <v>42613</v>
      </c>
      <c r="J21" s="50"/>
    </row>
    <row r="22" spans="1:10">
      <c r="A22" s="47" t="s">
        <v>43</v>
      </c>
      <c r="B22" s="43"/>
      <c r="C22" s="41"/>
      <c r="D22" s="18"/>
      <c r="E22" s="18"/>
      <c r="F22" s="6"/>
      <c r="G22" s="6"/>
      <c r="H22" s="19"/>
      <c r="I22" s="19"/>
      <c r="J22" s="50"/>
    </row>
    <row r="23" spans="1:10">
      <c r="A23" s="51"/>
      <c r="B23" s="43">
        <v>42522</v>
      </c>
      <c r="C23" s="41" t="s">
        <v>23</v>
      </c>
      <c r="D23" s="18">
        <v>1001700</v>
      </c>
      <c r="E23" s="18">
        <v>9000</v>
      </c>
      <c r="F23" s="6">
        <f t="shared" si="0"/>
        <v>992700</v>
      </c>
      <c r="G23" s="6">
        <f>F23*7.57</f>
        <v>7514739</v>
      </c>
      <c r="H23" s="19">
        <v>42552</v>
      </c>
      <c r="I23" s="19">
        <f>H23+60</f>
        <v>42612</v>
      </c>
      <c r="J23" s="50"/>
    </row>
    <row r="24" spans="1:10">
      <c r="A24" s="51"/>
      <c r="B24" s="43">
        <v>42522</v>
      </c>
      <c r="C24" s="40" t="s">
        <v>24</v>
      </c>
      <c r="D24" s="14">
        <v>729000</v>
      </c>
      <c r="E24" s="14">
        <v>9000</v>
      </c>
      <c r="F24" s="6">
        <f t="shared" si="0"/>
        <v>720000</v>
      </c>
      <c r="G24" s="6">
        <f>F24*7.59</f>
        <v>5464800</v>
      </c>
      <c r="H24" s="19">
        <v>42553</v>
      </c>
      <c r="I24" s="19">
        <f>H24+60</f>
        <v>42613</v>
      </c>
      <c r="J24" s="50"/>
    </row>
    <row r="25" spans="1:10">
      <c r="A25" s="52" t="s">
        <v>47</v>
      </c>
      <c r="B25" s="43"/>
      <c r="J25" s="50"/>
    </row>
    <row r="26" spans="1:10">
      <c r="A26" s="51"/>
      <c r="B26" s="43">
        <v>42522</v>
      </c>
      <c r="C26" s="42" t="s">
        <v>44</v>
      </c>
      <c r="D26" s="21">
        <v>6236000</v>
      </c>
      <c r="E26" s="21">
        <v>33000</v>
      </c>
      <c r="F26" s="6">
        <f>ROUND(D26-E26,0)</f>
        <v>6203000</v>
      </c>
      <c r="G26" s="8">
        <f>F26*5.63</f>
        <v>34922890</v>
      </c>
      <c r="H26" s="7">
        <v>42559</v>
      </c>
      <c r="I26" s="19">
        <f t="shared" ref="I26:I31" si="1">H26+30</f>
        <v>42589</v>
      </c>
      <c r="J26" s="50"/>
    </row>
    <row r="27" spans="1:10">
      <c r="A27" s="51"/>
      <c r="B27" s="43">
        <v>42522</v>
      </c>
      <c r="C27" s="41" t="s">
        <v>45</v>
      </c>
      <c r="D27" s="18">
        <v>1146400</v>
      </c>
      <c r="E27" s="18">
        <v>6300</v>
      </c>
      <c r="F27" s="6">
        <f>D27-E27</f>
        <v>1140100</v>
      </c>
      <c r="G27" s="8">
        <f>F27*5.63</f>
        <v>6418763</v>
      </c>
      <c r="H27" s="7">
        <v>42556</v>
      </c>
      <c r="I27" s="19">
        <f t="shared" si="1"/>
        <v>42586</v>
      </c>
      <c r="J27" s="50"/>
    </row>
    <row r="28" spans="1:10">
      <c r="A28" s="51"/>
      <c r="B28" s="43">
        <v>42522</v>
      </c>
      <c r="C28" s="41" t="s">
        <v>46</v>
      </c>
      <c r="D28" s="21">
        <v>715350</v>
      </c>
      <c r="E28" s="21">
        <v>5850</v>
      </c>
      <c r="F28" s="6">
        <f>D28-E28</f>
        <v>709500</v>
      </c>
      <c r="G28" s="8">
        <f>F28*5.63</f>
        <v>3994485</v>
      </c>
      <c r="H28" s="7">
        <v>42556</v>
      </c>
      <c r="I28" s="19">
        <f t="shared" si="1"/>
        <v>42586</v>
      </c>
      <c r="J28" s="50"/>
    </row>
    <row r="29" spans="1:10">
      <c r="A29" s="51"/>
      <c r="B29" s="43">
        <v>42522</v>
      </c>
      <c r="C29" s="41" t="s">
        <v>48</v>
      </c>
      <c r="D29" s="18">
        <v>1034900</v>
      </c>
      <c r="E29" s="18">
        <v>3900</v>
      </c>
      <c r="F29" s="6">
        <f>D29-E29</f>
        <v>1031000</v>
      </c>
      <c r="G29" s="4">
        <f>F29*5.71</f>
        <v>5887010</v>
      </c>
      <c r="H29" s="7">
        <v>42556</v>
      </c>
      <c r="I29" s="19">
        <f t="shared" si="1"/>
        <v>42586</v>
      </c>
      <c r="J29" s="50"/>
    </row>
    <row r="30" spans="1:10">
      <c r="A30" s="51"/>
      <c r="B30" s="43">
        <v>42522</v>
      </c>
      <c r="C30" s="41" t="s">
        <v>49</v>
      </c>
      <c r="D30" s="18">
        <v>1079400</v>
      </c>
      <c r="E30" s="18">
        <v>4900</v>
      </c>
      <c r="F30" s="6">
        <f>D30-E30</f>
        <v>1074500</v>
      </c>
      <c r="G30" s="4">
        <f>F30*5.71</f>
        <v>6135395</v>
      </c>
      <c r="H30" s="7">
        <v>42556</v>
      </c>
      <c r="I30" s="19">
        <f t="shared" si="1"/>
        <v>42586</v>
      </c>
      <c r="J30" s="50"/>
    </row>
    <row r="31" spans="1:10" ht="15" thickBot="1">
      <c r="A31" s="53"/>
      <c r="B31" s="54">
        <v>42522</v>
      </c>
      <c r="C31" s="55" t="s">
        <v>50</v>
      </c>
      <c r="D31" s="56">
        <v>5449000</v>
      </c>
      <c r="E31" s="56">
        <v>33000</v>
      </c>
      <c r="F31" s="57">
        <f>D31-E31</f>
        <v>5416000</v>
      </c>
      <c r="G31" s="58">
        <f>F31*5.97</f>
        <v>32333520</v>
      </c>
      <c r="H31" s="59">
        <v>42557</v>
      </c>
      <c r="I31" s="60">
        <f t="shared" si="1"/>
        <v>42587</v>
      </c>
      <c r="J31" s="61"/>
    </row>
  </sheetData>
  <phoneticPr fontId="12" type="noConversion"/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L47"/>
  <sheetViews>
    <sheetView topLeftCell="A19" workbookViewId="0">
      <selection activeCell="C35" sqref="C35"/>
    </sheetView>
  </sheetViews>
  <sheetFormatPr defaultRowHeight="14.4"/>
  <cols>
    <col min="1" max="1" width="16" customWidth="1"/>
    <col min="2" max="2" width="10.109375" bestFit="1" customWidth="1"/>
    <col min="3" max="3" width="14.33203125" bestFit="1" customWidth="1"/>
    <col min="4" max="6" width="15.6640625" customWidth="1"/>
    <col min="7" max="7" width="10.109375" bestFit="1" customWidth="1"/>
    <col min="8" max="8" width="15" bestFit="1" customWidth="1"/>
    <col min="9" max="9" width="10.5546875" bestFit="1" customWidth="1"/>
    <col min="10" max="10" width="17.33203125" customWidth="1"/>
    <col min="11" max="11" width="12.33203125" bestFit="1" customWidth="1"/>
    <col min="12" max="12" width="13.88671875" style="66" bestFit="1" customWidth="1"/>
    <col min="13" max="13" width="10.5546875" bestFit="1" customWidth="1"/>
    <col min="14" max="15" width="14.33203125" bestFit="1" customWidth="1"/>
    <col min="16" max="16" width="12.33203125" bestFit="1" customWidth="1"/>
  </cols>
  <sheetData>
    <row r="2" spans="1:12" ht="18">
      <c r="A2" s="75" t="s">
        <v>55</v>
      </c>
      <c r="B2" s="75"/>
      <c r="F2" s="27">
        <f>F6*0.4</f>
        <v>2357414.4</v>
      </c>
    </row>
    <row r="3" spans="1:12">
      <c r="C3" s="27">
        <f>C6*0.4</f>
        <v>271200</v>
      </c>
      <c r="D3" s="27">
        <f>D6*0.4</f>
        <v>1164</v>
      </c>
    </row>
    <row r="4" spans="1:12" s="64" customFormat="1" ht="28.8">
      <c r="A4" s="62" t="s">
        <v>29</v>
      </c>
      <c r="B4" s="62" t="s">
        <v>72</v>
      </c>
      <c r="C4" s="62" t="s">
        <v>1</v>
      </c>
      <c r="D4" s="62" t="s">
        <v>2</v>
      </c>
      <c r="E4" s="62" t="s">
        <v>3</v>
      </c>
      <c r="F4" s="62" t="s">
        <v>4</v>
      </c>
      <c r="G4" s="62" t="s">
        <v>5</v>
      </c>
      <c r="H4" s="63" t="s">
        <v>54</v>
      </c>
      <c r="I4" s="62" t="s">
        <v>6</v>
      </c>
      <c r="J4" s="62" t="s">
        <v>7</v>
      </c>
      <c r="K4" s="62" t="s">
        <v>8</v>
      </c>
      <c r="L4" s="63" t="s">
        <v>9</v>
      </c>
    </row>
    <row r="5" spans="1:12" s="64" customFormat="1">
      <c r="A5" s="17">
        <v>42522</v>
      </c>
      <c r="B5" s="17" t="s">
        <v>73</v>
      </c>
      <c r="C5" s="21">
        <v>3240</v>
      </c>
      <c r="D5" s="21">
        <v>888</v>
      </c>
      <c r="E5" s="6">
        <f>C5-D5</f>
        <v>2352</v>
      </c>
      <c r="F5" s="8">
        <f>E5*8.73</f>
        <v>20533</v>
      </c>
      <c r="G5" s="7">
        <v>42620</v>
      </c>
      <c r="H5" s="7">
        <v>42622</v>
      </c>
      <c r="I5" s="76">
        <f>H5+30</f>
        <v>42652</v>
      </c>
      <c r="J5" s="8"/>
      <c r="K5" s="8"/>
      <c r="L5" s="67"/>
    </row>
    <row r="6" spans="1:12">
      <c r="A6" s="17">
        <v>42552</v>
      </c>
      <c r="B6" s="17" t="s">
        <v>73</v>
      </c>
      <c r="C6" s="21">
        <v>678000</v>
      </c>
      <c r="D6" s="21">
        <v>2910</v>
      </c>
      <c r="E6" s="6">
        <f>ROUND(C6-D6,0)</f>
        <v>675090</v>
      </c>
      <c r="F6" s="8">
        <f>E6*8.73</f>
        <v>5893536</v>
      </c>
      <c r="G6" s="7">
        <v>42584</v>
      </c>
      <c r="H6" s="7">
        <v>42584</v>
      </c>
      <c r="I6" s="76">
        <v>42612</v>
      </c>
      <c r="J6" s="195">
        <v>9087228</v>
      </c>
      <c r="K6" s="195">
        <f>F7+F6-J6</f>
        <v>581649</v>
      </c>
      <c r="L6" s="71">
        <v>42642</v>
      </c>
    </row>
    <row r="7" spans="1:12">
      <c r="A7" s="17">
        <v>42583</v>
      </c>
      <c r="B7" s="17" t="s">
        <v>73</v>
      </c>
      <c r="C7" s="21">
        <v>434052</v>
      </c>
      <c r="D7" s="21">
        <v>1596</v>
      </c>
      <c r="E7" s="6">
        <f>ROUND(C7-D7,0)</f>
        <v>432456</v>
      </c>
      <c r="F7" s="77">
        <f>E7*8.73</f>
        <v>3775341</v>
      </c>
      <c r="G7" s="7">
        <v>42618</v>
      </c>
      <c r="H7" s="7">
        <v>42621</v>
      </c>
      <c r="I7" s="76">
        <v>42643</v>
      </c>
      <c r="J7" s="196"/>
      <c r="K7" s="196"/>
      <c r="L7" s="71">
        <v>42642</v>
      </c>
    </row>
    <row r="8" spans="1:12">
      <c r="A8" s="17">
        <v>42614</v>
      </c>
      <c r="B8" s="17" t="s">
        <v>73</v>
      </c>
      <c r="C8" s="21"/>
      <c r="D8" s="21"/>
      <c r="E8" s="6">
        <f>ROUND(C8-D8,0)</f>
        <v>0</v>
      </c>
      <c r="F8" s="77">
        <f>E8*8.73</f>
        <v>0</v>
      </c>
      <c r="G8" s="7"/>
      <c r="H8" s="7"/>
      <c r="I8" s="76"/>
      <c r="J8" s="8"/>
      <c r="K8" s="8"/>
      <c r="L8" s="67"/>
    </row>
    <row r="9" spans="1:12">
      <c r="A9" s="17"/>
      <c r="B9" s="17"/>
      <c r="C9" s="21"/>
      <c r="D9" s="21"/>
      <c r="E9" s="6"/>
      <c r="F9" s="8"/>
      <c r="G9" s="7"/>
      <c r="H9" s="7"/>
      <c r="I9" s="76"/>
      <c r="J9" s="8"/>
      <c r="K9" s="8"/>
      <c r="L9" s="67"/>
    </row>
    <row r="10" spans="1:12">
      <c r="A10" s="17"/>
      <c r="B10" s="17"/>
      <c r="C10" s="21"/>
      <c r="D10" s="21"/>
      <c r="E10" s="6"/>
      <c r="F10" s="8"/>
      <c r="G10" s="7"/>
      <c r="H10" s="7"/>
      <c r="I10" s="76"/>
      <c r="J10" s="8"/>
      <c r="K10" s="8"/>
      <c r="L10" s="67"/>
    </row>
    <row r="11" spans="1:12">
      <c r="A11" s="17">
        <v>42522</v>
      </c>
      <c r="B11" s="17" t="s">
        <v>74</v>
      </c>
      <c r="C11" s="21">
        <v>4860</v>
      </c>
      <c r="D11" s="21">
        <v>1332</v>
      </c>
      <c r="E11" s="6">
        <f>C11-D11</f>
        <v>3528</v>
      </c>
      <c r="F11" s="8">
        <f>E11*8.73</f>
        <v>30799</v>
      </c>
      <c r="G11" s="7">
        <v>42620</v>
      </c>
      <c r="H11" s="7">
        <v>42622</v>
      </c>
      <c r="I11" s="76">
        <f>H11+30</f>
        <v>42652</v>
      </c>
      <c r="J11" s="8"/>
      <c r="K11" s="8"/>
      <c r="L11" s="67"/>
    </row>
    <row r="12" spans="1:12">
      <c r="A12" s="17">
        <v>42552</v>
      </c>
      <c r="B12" s="17" t="s">
        <v>74</v>
      </c>
      <c r="C12" s="21"/>
      <c r="D12" s="21"/>
      <c r="E12" s="6">
        <f>ROUND(C12-D12,0)</f>
        <v>0</v>
      </c>
      <c r="F12" s="8">
        <f>E12*8.73</f>
        <v>0</v>
      </c>
      <c r="G12" s="7">
        <v>42584</v>
      </c>
      <c r="H12" s="7"/>
      <c r="I12" s="76">
        <v>42612</v>
      </c>
      <c r="J12" s="195"/>
      <c r="K12" s="195"/>
      <c r="L12" s="71"/>
    </row>
    <row r="13" spans="1:12">
      <c r="A13" s="17">
        <v>42583</v>
      </c>
      <c r="B13" s="17" t="s">
        <v>74</v>
      </c>
      <c r="C13" s="21"/>
      <c r="D13" s="21"/>
      <c r="E13" s="6">
        <f>F13/8.73</f>
        <v>648684</v>
      </c>
      <c r="F13" s="77">
        <v>5663011</v>
      </c>
      <c r="G13" s="7">
        <v>42618</v>
      </c>
      <c r="H13" s="7">
        <v>42621</v>
      </c>
      <c r="I13" s="76">
        <v>42643</v>
      </c>
      <c r="J13" s="196"/>
      <c r="K13" s="196"/>
      <c r="L13" s="71"/>
    </row>
    <row r="14" spans="1:12">
      <c r="A14" s="17">
        <v>42614</v>
      </c>
      <c r="B14" s="17" t="s">
        <v>74</v>
      </c>
      <c r="C14" s="21"/>
      <c r="D14" s="21"/>
      <c r="E14" s="6">
        <f>ROUND(C14-D14,0)</f>
        <v>0</v>
      </c>
      <c r="F14" s="77">
        <f>E14*8.73</f>
        <v>0</v>
      </c>
      <c r="G14" s="7"/>
      <c r="H14" s="7"/>
      <c r="I14" s="76"/>
      <c r="J14" s="8"/>
      <c r="K14" s="8"/>
      <c r="L14" s="67"/>
    </row>
    <row r="15" spans="1:12">
      <c r="A15" s="17"/>
      <c r="B15" s="17"/>
      <c r="C15" s="21"/>
      <c r="D15" s="21"/>
      <c r="E15" s="6"/>
      <c r="F15" s="8"/>
      <c r="G15" s="7"/>
      <c r="H15" s="7"/>
      <c r="I15" s="76"/>
      <c r="J15" s="8"/>
      <c r="K15" s="8"/>
      <c r="L15" s="67"/>
    </row>
    <row r="16" spans="1:12">
      <c r="A16" s="2" t="s">
        <v>10</v>
      </c>
      <c r="B16" s="2"/>
      <c r="C16" s="3">
        <f>SUM(C5:C15)</f>
        <v>1120152</v>
      </c>
      <c r="D16" s="3">
        <f>SUM(D5:D15)</f>
        <v>6726</v>
      </c>
      <c r="E16" s="3">
        <f>SUM(E5:E15)</f>
        <v>1762110</v>
      </c>
      <c r="F16" s="3">
        <f>SUM(F5:F15)</f>
        <v>15383220</v>
      </c>
      <c r="G16" s="3"/>
      <c r="H16" s="3"/>
      <c r="I16" s="3"/>
      <c r="J16" s="3">
        <f>SUM(J5:J15)</f>
        <v>9087228</v>
      </c>
      <c r="K16" s="3">
        <f>SUM(K5:K15)</f>
        <v>581649</v>
      </c>
      <c r="L16" s="13"/>
    </row>
    <row r="17" spans="1:12">
      <c r="I17" s="22"/>
      <c r="J17" s="23"/>
      <c r="L17" s="68"/>
    </row>
    <row r="18" spans="1:12">
      <c r="A18" s="1" t="s">
        <v>59</v>
      </c>
      <c r="B18" s="1"/>
      <c r="C18" t="s">
        <v>63</v>
      </c>
      <c r="I18" t="s">
        <v>62</v>
      </c>
      <c r="J18" s="23"/>
      <c r="L18" s="68"/>
    </row>
    <row r="19" spans="1:12">
      <c r="A19" s="1"/>
      <c r="B19" s="1"/>
      <c r="C19" t="s">
        <v>64</v>
      </c>
      <c r="I19" t="s">
        <v>68</v>
      </c>
      <c r="J19" s="23"/>
      <c r="L19" s="68"/>
    </row>
    <row r="20" spans="1:12">
      <c r="A20" s="1" t="s">
        <v>60</v>
      </c>
      <c r="B20" s="1"/>
      <c r="C20" t="s">
        <v>66</v>
      </c>
      <c r="J20" s="23"/>
      <c r="L20" s="68"/>
    </row>
    <row r="21" spans="1:12">
      <c r="A21" s="1"/>
      <c r="B21" s="1"/>
      <c r="C21" t="s">
        <v>67</v>
      </c>
      <c r="J21" s="23"/>
      <c r="L21" s="68"/>
    </row>
    <row r="22" spans="1:12">
      <c r="A22" s="1" t="s">
        <v>61</v>
      </c>
      <c r="B22" s="1"/>
      <c r="C22" t="s">
        <v>65</v>
      </c>
      <c r="J22" s="23"/>
      <c r="L22" s="68"/>
    </row>
    <row r="23" spans="1:12">
      <c r="A23" s="1"/>
      <c r="B23" s="1"/>
      <c r="J23" s="23"/>
      <c r="L23" s="68"/>
    </row>
    <row r="24" spans="1:12" ht="18">
      <c r="A24" s="75" t="s">
        <v>56</v>
      </c>
      <c r="B24" s="75"/>
    </row>
    <row r="26" spans="1:12" ht="28.8">
      <c r="A26" s="3" t="s">
        <v>29</v>
      </c>
      <c r="B26" s="62" t="s">
        <v>72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63" t="s">
        <v>54</v>
      </c>
      <c r="I26" s="3" t="s">
        <v>6</v>
      </c>
      <c r="J26" s="3" t="s">
        <v>7</v>
      </c>
      <c r="K26" s="3" t="s">
        <v>8</v>
      </c>
      <c r="L26" s="13" t="s">
        <v>9</v>
      </c>
    </row>
    <row r="27" spans="1:12">
      <c r="A27" s="17">
        <v>42522</v>
      </c>
      <c r="B27" s="17" t="s">
        <v>73</v>
      </c>
      <c r="C27" s="21">
        <v>558</v>
      </c>
      <c r="D27" s="21">
        <v>1404</v>
      </c>
      <c r="E27" s="6">
        <f>ROUND(C27-D27,0)</f>
        <v>-846</v>
      </c>
      <c r="F27" s="8">
        <f>E27*8.73</f>
        <v>-7386</v>
      </c>
      <c r="G27" s="7">
        <v>42620</v>
      </c>
      <c r="H27" s="7">
        <v>42622</v>
      </c>
      <c r="I27" s="76">
        <f>H27+30</f>
        <v>42652</v>
      </c>
      <c r="J27" s="78"/>
      <c r="K27" s="78"/>
      <c r="L27" s="79"/>
    </row>
    <row r="28" spans="1:12">
      <c r="A28" s="17">
        <v>42552</v>
      </c>
      <c r="B28" s="17" t="s">
        <v>73</v>
      </c>
      <c r="C28" s="21">
        <v>671310</v>
      </c>
      <c r="D28" s="21">
        <v>4365</v>
      </c>
      <c r="E28" s="6">
        <f>ROUND(C28-D28,0)</f>
        <v>666945</v>
      </c>
      <c r="F28" s="8">
        <f>E28*8.73</f>
        <v>5822430</v>
      </c>
      <c r="G28" s="7">
        <v>42584</v>
      </c>
      <c r="H28" s="7">
        <v>42584</v>
      </c>
      <c r="I28" s="76">
        <v>42612</v>
      </c>
      <c r="J28" s="195">
        <v>10620824</v>
      </c>
      <c r="K28" s="195">
        <f>F29+F28-J28</f>
        <v>45761</v>
      </c>
      <c r="L28" s="71">
        <v>42642</v>
      </c>
    </row>
    <row r="29" spans="1:12">
      <c r="A29" s="17">
        <v>42583</v>
      </c>
      <c r="B29" s="17" t="s">
        <v>73</v>
      </c>
      <c r="C29" s="18">
        <v>557928</v>
      </c>
      <c r="D29" s="18">
        <v>3042</v>
      </c>
      <c r="E29" s="6">
        <f>ROUND(C29-D29,0)</f>
        <v>554886</v>
      </c>
      <c r="F29" s="77">
        <f>E29*8.73</f>
        <v>4844155</v>
      </c>
      <c r="G29" s="7">
        <v>42618</v>
      </c>
      <c r="H29" s="7">
        <v>42621</v>
      </c>
      <c r="I29" s="76">
        <v>42643</v>
      </c>
      <c r="J29" s="196"/>
      <c r="K29" s="196"/>
      <c r="L29" s="71">
        <v>42642</v>
      </c>
    </row>
    <row r="30" spans="1:12">
      <c r="A30" s="17">
        <v>42614</v>
      </c>
      <c r="B30" s="17" t="s">
        <v>73</v>
      </c>
      <c r="C30" s="18"/>
      <c r="D30" s="18"/>
      <c r="E30" s="6">
        <f>ROUND(C30-D30,0)</f>
        <v>0</v>
      </c>
      <c r="F30" s="77">
        <f>E30*8.73</f>
        <v>0</v>
      </c>
      <c r="G30" s="7"/>
      <c r="H30" s="7"/>
      <c r="I30" s="76"/>
      <c r="J30" s="65"/>
      <c r="K30" s="65"/>
      <c r="L30" s="71"/>
    </row>
    <row r="31" spans="1:12">
      <c r="A31" s="17"/>
      <c r="B31" s="33"/>
      <c r="C31" s="18"/>
      <c r="D31" s="18"/>
      <c r="E31" s="6"/>
      <c r="F31" s="77"/>
      <c r="G31" s="7"/>
      <c r="H31" s="7"/>
      <c r="I31" s="76"/>
      <c r="J31" s="65"/>
      <c r="K31" s="65"/>
      <c r="L31" s="71"/>
    </row>
    <row r="32" spans="1:12">
      <c r="A32" s="17"/>
      <c r="B32" s="33"/>
      <c r="C32" s="18"/>
      <c r="D32" s="18"/>
      <c r="E32" s="6"/>
      <c r="F32" s="77"/>
      <c r="G32" s="7"/>
      <c r="H32" s="7"/>
      <c r="I32" s="76"/>
      <c r="J32" s="65"/>
      <c r="K32" s="65"/>
      <c r="L32" s="71"/>
    </row>
    <row r="33" spans="1:12">
      <c r="A33" s="17"/>
      <c r="B33" s="33"/>
      <c r="C33" s="18"/>
      <c r="D33" s="18"/>
      <c r="E33" s="6"/>
      <c r="F33" s="77"/>
      <c r="G33" s="7"/>
      <c r="H33" s="7"/>
      <c r="I33" s="76"/>
      <c r="J33" s="65"/>
      <c r="K33" s="65"/>
      <c r="L33" s="71"/>
    </row>
    <row r="34" spans="1:12">
      <c r="A34" s="17">
        <v>42522</v>
      </c>
      <c r="B34" s="17" t="s">
        <v>74</v>
      </c>
      <c r="C34" s="18">
        <v>837</v>
      </c>
      <c r="D34" s="18">
        <v>2106</v>
      </c>
      <c r="E34" s="6">
        <f>ROUND(C34-D34,0)</f>
        <v>-1269</v>
      </c>
      <c r="F34" s="8">
        <f>E34*8.73</f>
        <v>-11078</v>
      </c>
      <c r="G34" s="7">
        <v>42620</v>
      </c>
      <c r="H34" s="7">
        <v>42622</v>
      </c>
      <c r="I34" s="76">
        <f>H34+30</f>
        <v>42652</v>
      </c>
      <c r="J34" s="65"/>
      <c r="K34" s="65"/>
      <c r="L34" s="71"/>
    </row>
    <row r="35" spans="1:12">
      <c r="A35" s="17">
        <v>42552</v>
      </c>
      <c r="B35" s="17" t="s">
        <v>74</v>
      </c>
      <c r="C35" s="21"/>
      <c r="D35" s="21"/>
      <c r="E35" s="6">
        <f>ROUND(C35-D35,0)</f>
        <v>0</v>
      </c>
      <c r="F35" s="8">
        <f>E35*8.73</f>
        <v>0</v>
      </c>
      <c r="G35" s="7">
        <v>42584</v>
      </c>
      <c r="H35" s="7"/>
      <c r="I35" s="76">
        <v>42612</v>
      </c>
      <c r="J35" s="195"/>
      <c r="K35" s="195"/>
      <c r="L35" s="71" t="s">
        <v>69</v>
      </c>
    </row>
    <row r="36" spans="1:12">
      <c r="A36" s="17">
        <v>42583</v>
      </c>
      <c r="B36" s="17" t="s">
        <v>74</v>
      </c>
      <c r="C36" s="18"/>
      <c r="D36" s="18"/>
      <c r="E36" s="6">
        <f>F36/8.73</f>
        <v>832329</v>
      </c>
      <c r="F36" s="77">
        <v>7266232</v>
      </c>
      <c r="G36" s="7">
        <v>42618</v>
      </c>
      <c r="H36" s="7">
        <v>42621</v>
      </c>
      <c r="I36" s="76">
        <v>42643</v>
      </c>
      <c r="J36" s="196"/>
      <c r="K36" s="196"/>
      <c r="L36" s="71" t="s">
        <v>69</v>
      </c>
    </row>
    <row r="37" spans="1:12">
      <c r="A37" s="17">
        <v>42614</v>
      </c>
      <c r="B37" s="17" t="s">
        <v>74</v>
      </c>
      <c r="C37" s="18"/>
      <c r="D37" s="18"/>
      <c r="E37" s="6">
        <f>ROUND(C37-D37,0)</f>
        <v>0</v>
      </c>
      <c r="F37" s="77">
        <f>E37*8.73</f>
        <v>0</v>
      </c>
      <c r="G37" s="7"/>
      <c r="H37" s="7"/>
      <c r="I37" s="76"/>
      <c r="J37" s="65"/>
      <c r="K37" s="65"/>
      <c r="L37" s="71"/>
    </row>
    <row r="38" spans="1:12">
      <c r="A38" s="17"/>
      <c r="B38" s="33"/>
      <c r="C38" s="18"/>
      <c r="D38" s="18"/>
      <c r="E38" s="6"/>
      <c r="F38" s="77"/>
      <c r="G38" s="7"/>
      <c r="H38" s="7"/>
      <c r="I38" s="76"/>
      <c r="J38" s="65"/>
      <c r="K38" s="65"/>
      <c r="L38" s="71"/>
    </row>
    <row r="39" spans="1:12">
      <c r="A39" s="17"/>
      <c r="B39" s="17"/>
      <c r="C39" s="21"/>
      <c r="D39" s="21"/>
      <c r="E39" s="6"/>
      <c r="F39" s="8"/>
      <c r="G39" s="7"/>
      <c r="H39" s="7"/>
      <c r="I39" s="76"/>
      <c r="J39" s="65"/>
      <c r="K39" s="65"/>
      <c r="L39" s="69"/>
    </row>
    <row r="40" spans="1:12">
      <c r="A40" s="2" t="s">
        <v>10</v>
      </c>
      <c r="B40" s="2"/>
      <c r="C40" s="3">
        <f>SUM(C27:C39)</f>
        <v>1230633</v>
      </c>
      <c r="D40" s="3">
        <f>SUM(D27:D39)</f>
        <v>10917</v>
      </c>
      <c r="E40" s="3">
        <f>SUM(E27:E39)</f>
        <v>2052045</v>
      </c>
      <c r="F40" s="3">
        <f>SUM(F27:F39)</f>
        <v>17914353</v>
      </c>
      <c r="G40" s="3"/>
      <c r="H40" s="3"/>
      <c r="I40" s="3"/>
      <c r="J40" s="3">
        <f>SUM(J27:J39)</f>
        <v>10620824</v>
      </c>
      <c r="K40" s="3">
        <f>SUM(K27:K39)</f>
        <v>45761</v>
      </c>
      <c r="L40" s="13"/>
    </row>
    <row r="41" spans="1:12">
      <c r="C41" s="34"/>
      <c r="D41" s="34"/>
      <c r="E41" s="34"/>
      <c r="F41" s="34"/>
      <c r="G41" s="34"/>
      <c r="H41" s="34"/>
      <c r="I41" s="34"/>
      <c r="J41" s="34"/>
      <c r="K41" s="34"/>
      <c r="L41" s="70"/>
    </row>
    <row r="42" spans="1:12">
      <c r="F42" s="32"/>
    </row>
    <row r="43" spans="1:12">
      <c r="A43" s="1" t="s">
        <v>59</v>
      </c>
      <c r="B43" s="1"/>
      <c r="C43" t="s">
        <v>63</v>
      </c>
      <c r="I43" t="s">
        <v>62</v>
      </c>
    </row>
    <row r="44" spans="1:12">
      <c r="A44" s="1"/>
      <c r="B44" s="1"/>
      <c r="C44" t="s">
        <v>64</v>
      </c>
      <c r="I44" t="s">
        <v>68</v>
      </c>
    </row>
    <row r="45" spans="1:12">
      <c r="A45" s="1" t="s">
        <v>60</v>
      </c>
      <c r="B45" s="1"/>
      <c r="C45" t="s">
        <v>66</v>
      </c>
    </row>
    <row r="46" spans="1:12">
      <c r="A46" s="1"/>
      <c r="B46" s="1"/>
      <c r="C46" t="s">
        <v>67</v>
      </c>
    </row>
    <row r="47" spans="1:12">
      <c r="A47" s="1" t="s">
        <v>61</v>
      </c>
      <c r="B47" s="1"/>
      <c r="C47" t="s">
        <v>65</v>
      </c>
    </row>
  </sheetData>
  <mergeCells count="8">
    <mergeCell ref="J35:J36"/>
    <mergeCell ref="K35:K36"/>
    <mergeCell ref="J6:J7"/>
    <mergeCell ref="K6:K7"/>
    <mergeCell ref="J28:J29"/>
    <mergeCell ref="K28:K29"/>
    <mergeCell ref="J12:J13"/>
    <mergeCell ref="K12:K13"/>
  </mergeCells>
  <phoneticPr fontId="12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00B050"/>
  </sheetPr>
  <dimension ref="A1:S39"/>
  <sheetViews>
    <sheetView zoomScaleNormal="100" workbookViewId="0">
      <pane xSplit="2" ySplit="3" topLeftCell="C5" activePane="bottomRight" state="frozen"/>
      <selection pane="topRight" activeCell="C1" sqref="C1"/>
      <selection pane="bottomLeft" activeCell="A5" sqref="A5"/>
      <selection pane="bottomRight" activeCell="A21" sqref="A21"/>
    </sheetView>
  </sheetViews>
  <sheetFormatPr defaultRowHeight="14.4"/>
  <cols>
    <col min="1" max="1" width="3.44140625" style="64" customWidth="1"/>
    <col min="2" max="2" width="7.77734375" style="64" bestFit="1" customWidth="1"/>
    <col min="3" max="4" width="11.88671875" style="64" bestFit="1" customWidth="1"/>
    <col min="5" max="5" width="11.44140625" style="64" bestFit="1" customWidth="1"/>
    <col min="6" max="6" width="11.21875" style="64" bestFit="1" customWidth="1"/>
    <col min="7" max="7" width="12.6640625" style="64" bestFit="1" customWidth="1"/>
    <col min="8" max="8" width="13.6640625" style="64" bestFit="1" customWidth="1"/>
    <col min="9" max="9" width="5.109375" style="64" customWidth="1"/>
    <col min="10" max="10" width="11.44140625" style="64" bestFit="1" customWidth="1"/>
    <col min="11" max="11" width="11.21875" style="64" bestFit="1" customWidth="1"/>
    <col min="12" max="12" width="12.6640625" style="64" bestFit="1" customWidth="1"/>
    <col min="13" max="13" width="12.5546875" style="64" bestFit="1" customWidth="1"/>
    <col min="14" max="14" width="5.109375" style="64" customWidth="1"/>
    <col min="15" max="15" width="11.44140625" style="64" bestFit="1" customWidth="1"/>
    <col min="16" max="16" width="11.88671875" style="64" customWidth="1"/>
    <col min="17" max="17" width="12.6640625" style="64" bestFit="1" customWidth="1"/>
    <col min="18" max="18" width="12.5546875" style="64" customWidth="1"/>
    <col min="19" max="16384" width="8.88671875" style="64"/>
  </cols>
  <sheetData>
    <row r="1" spans="1:19" ht="18">
      <c r="B1" s="110" t="s">
        <v>77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9" s="105" customFormat="1" ht="18">
      <c r="A2" s="64"/>
      <c r="B2" s="108"/>
      <c r="C2" s="108"/>
      <c r="D2" s="108"/>
      <c r="E2" s="194" t="s">
        <v>108</v>
      </c>
      <c r="F2" s="194"/>
      <c r="G2" s="194"/>
      <c r="H2" s="194"/>
      <c r="I2" s="110"/>
      <c r="J2" s="194" t="s">
        <v>110</v>
      </c>
      <c r="K2" s="194"/>
      <c r="L2" s="194"/>
      <c r="M2" s="194"/>
      <c r="N2" s="110"/>
      <c r="O2" s="194" t="s">
        <v>109</v>
      </c>
      <c r="P2" s="194"/>
      <c r="Q2" s="194"/>
      <c r="R2" s="194"/>
    </row>
    <row r="3" spans="1:19" s="35" customFormat="1" ht="28.8">
      <c r="B3" s="109" t="s">
        <v>51</v>
      </c>
      <c r="C3" s="109" t="s">
        <v>111</v>
      </c>
      <c r="D3" s="109" t="s">
        <v>112</v>
      </c>
      <c r="E3" s="109" t="s">
        <v>82</v>
      </c>
      <c r="F3" s="109" t="s">
        <v>83</v>
      </c>
      <c r="G3" s="109" t="s">
        <v>84</v>
      </c>
      <c r="H3" s="109" t="s">
        <v>81</v>
      </c>
      <c r="I3" s="110"/>
      <c r="J3" s="109" t="s">
        <v>82</v>
      </c>
      <c r="K3" s="109" t="s">
        <v>83</v>
      </c>
      <c r="L3" s="109" t="s">
        <v>84</v>
      </c>
      <c r="M3" s="109" t="s">
        <v>81</v>
      </c>
      <c r="N3" s="110"/>
      <c r="O3" s="109" t="s">
        <v>82</v>
      </c>
      <c r="P3" s="109" t="s">
        <v>83</v>
      </c>
      <c r="Q3" s="109" t="s">
        <v>84</v>
      </c>
      <c r="R3" s="109" t="s">
        <v>81</v>
      </c>
    </row>
    <row r="4" spans="1:19" ht="18">
      <c r="B4" s="89">
        <v>44958</v>
      </c>
      <c r="C4" s="113">
        <v>44958</v>
      </c>
      <c r="D4" s="113">
        <v>44985</v>
      </c>
      <c r="E4" s="84">
        <v>3318800</v>
      </c>
      <c r="F4" s="84">
        <v>25223</v>
      </c>
      <c r="G4" s="83">
        <f t="shared" ref="G4:G19" si="0">E4-F4</f>
        <v>3293577</v>
      </c>
      <c r="H4" s="84">
        <v>3293577</v>
      </c>
      <c r="I4" s="110"/>
      <c r="J4" s="84">
        <v>3543100</v>
      </c>
      <c r="K4" s="84">
        <v>26900</v>
      </c>
      <c r="L4" s="83">
        <f t="shared" ref="L4:L6" si="1">J4-K4</f>
        <v>3516200</v>
      </c>
      <c r="M4" s="84">
        <v>3516200</v>
      </c>
      <c r="N4" s="110"/>
      <c r="O4" s="84">
        <v>3564600</v>
      </c>
      <c r="P4" s="84">
        <v>26400</v>
      </c>
      <c r="Q4" s="83">
        <f t="shared" ref="Q4:Q6" si="2">O4-P4</f>
        <v>3538200</v>
      </c>
      <c r="R4" s="84">
        <v>3538200</v>
      </c>
      <c r="S4" s="106"/>
    </row>
    <row r="5" spans="1:19" ht="18">
      <c r="B5" s="89">
        <v>44986</v>
      </c>
      <c r="C5" s="113">
        <v>44986</v>
      </c>
      <c r="D5" s="113">
        <v>45016</v>
      </c>
      <c r="E5" s="84">
        <v>3231600</v>
      </c>
      <c r="F5" s="84">
        <v>24560</v>
      </c>
      <c r="G5" s="83">
        <f t="shared" si="0"/>
        <v>3207040</v>
      </c>
      <c r="H5" s="84">
        <v>3207040</v>
      </c>
      <c r="I5" s="110"/>
      <c r="J5" s="84">
        <v>3431000</v>
      </c>
      <c r="K5" s="84">
        <v>25800</v>
      </c>
      <c r="L5" s="83">
        <f t="shared" si="1"/>
        <v>3405200</v>
      </c>
      <c r="M5" s="84">
        <v>3405200</v>
      </c>
      <c r="N5" s="110"/>
      <c r="O5" s="84">
        <v>3487800</v>
      </c>
      <c r="P5" s="84">
        <v>24900</v>
      </c>
      <c r="Q5" s="83">
        <f t="shared" si="2"/>
        <v>3462900</v>
      </c>
      <c r="R5" s="84">
        <v>3462900</v>
      </c>
      <c r="S5" s="106"/>
    </row>
    <row r="6" spans="1:19" ht="18">
      <c r="B6" s="89">
        <v>45017</v>
      </c>
      <c r="C6" s="113">
        <v>45017</v>
      </c>
      <c r="D6" s="113">
        <v>45046</v>
      </c>
      <c r="E6" s="84">
        <v>3647900</v>
      </c>
      <c r="F6" s="84">
        <v>27724</v>
      </c>
      <c r="G6" s="83">
        <f t="shared" si="0"/>
        <v>3620176</v>
      </c>
      <c r="H6" s="84">
        <v>3620176</v>
      </c>
      <c r="I6" s="110"/>
      <c r="J6" s="84">
        <v>3805700</v>
      </c>
      <c r="K6" s="84">
        <v>24100</v>
      </c>
      <c r="L6" s="83">
        <f t="shared" si="1"/>
        <v>3781600</v>
      </c>
      <c r="M6" s="84">
        <v>3781600</v>
      </c>
      <c r="N6" s="110"/>
      <c r="O6" s="84">
        <v>3910400</v>
      </c>
      <c r="P6" s="84">
        <v>23800</v>
      </c>
      <c r="Q6" s="83">
        <f t="shared" si="2"/>
        <v>3886600</v>
      </c>
      <c r="R6" s="84">
        <v>3886600</v>
      </c>
      <c r="S6" s="106"/>
    </row>
    <row r="7" spans="1:19" ht="18">
      <c r="B7" s="89">
        <v>45047</v>
      </c>
      <c r="C7" s="113">
        <v>45047</v>
      </c>
      <c r="D7" s="113">
        <v>45077</v>
      </c>
      <c r="E7" s="84">
        <v>3467700</v>
      </c>
      <c r="F7" s="84">
        <v>26355</v>
      </c>
      <c r="G7" s="83">
        <f>E7-F7</f>
        <v>3441345</v>
      </c>
      <c r="H7" s="84">
        <v>3441345</v>
      </c>
      <c r="I7" s="110"/>
      <c r="J7" s="84">
        <v>3602900</v>
      </c>
      <c r="K7" s="84">
        <v>20800</v>
      </c>
      <c r="L7" s="83">
        <f>J7-K7</f>
        <v>3582100</v>
      </c>
      <c r="M7" s="84">
        <v>3582100</v>
      </c>
      <c r="N7" s="110"/>
      <c r="O7" s="84">
        <v>3756000</v>
      </c>
      <c r="P7" s="84">
        <v>20000</v>
      </c>
      <c r="Q7" s="83">
        <f>O7-P7</f>
        <v>3736000</v>
      </c>
      <c r="R7" s="84">
        <v>3736000</v>
      </c>
      <c r="S7" s="106"/>
    </row>
    <row r="8" spans="1:19" ht="18">
      <c r="B8" s="89">
        <v>45078</v>
      </c>
      <c r="C8" s="113">
        <v>45078</v>
      </c>
      <c r="D8" s="113">
        <v>45107</v>
      </c>
      <c r="E8" s="84">
        <v>3719500</v>
      </c>
      <c r="F8" s="84">
        <v>28268</v>
      </c>
      <c r="G8" s="83">
        <f t="shared" si="0"/>
        <v>3691232</v>
      </c>
      <c r="H8" s="84">
        <v>3691232</v>
      </c>
      <c r="I8" s="110"/>
      <c r="J8" s="84">
        <v>3717800</v>
      </c>
      <c r="K8" s="84">
        <v>21500</v>
      </c>
      <c r="L8" s="83">
        <f t="shared" ref="L8:L14" si="3">J8-K8</f>
        <v>3696300</v>
      </c>
      <c r="M8" s="84">
        <v>3696300</v>
      </c>
      <c r="N8" s="110"/>
      <c r="O8" s="84">
        <v>3784300</v>
      </c>
      <c r="P8" s="84">
        <v>20500</v>
      </c>
      <c r="Q8" s="83">
        <f t="shared" ref="Q8:Q14" si="4">O8-P8</f>
        <v>3763800</v>
      </c>
      <c r="R8" s="84">
        <v>3763800</v>
      </c>
      <c r="S8" s="106"/>
    </row>
    <row r="9" spans="1:19" ht="18">
      <c r="B9" s="89">
        <v>45108</v>
      </c>
      <c r="C9" s="113">
        <v>45108</v>
      </c>
      <c r="D9" s="113">
        <v>45138</v>
      </c>
      <c r="E9" s="84">
        <v>3262600</v>
      </c>
      <c r="F9" s="84">
        <v>16200</v>
      </c>
      <c r="G9" s="83">
        <f t="shared" si="0"/>
        <v>3246400</v>
      </c>
      <c r="H9" s="84">
        <v>3246400</v>
      </c>
      <c r="I9" s="110"/>
      <c r="J9" s="84">
        <v>3542000</v>
      </c>
      <c r="K9" s="84">
        <v>24400</v>
      </c>
      <c r="L9" s="83">
        <f t="shared" si="3"/>
        <v>3517600</v>
      </c>
      <c r="M9" s="84">
        <v>3517600</v>
      </c>
      <c r="N9" s="110"/>
      <c r="O9" s="84">
        <v>3642200</v>
      </c>
      <c r="P9" s="84">
        <v>24500</v>
      </c>
      <c r="Q9" s="83">
        <f t="shared" si="4"/>
        <v>3617700</v>
      </c>
      <c r="R9" s="84">
        <v>3617700</v>
      </c>
      <c r="S9" s="106"/>
    </row>
    <row r="10" spans="1:19" ht="18">
      <c r="B10" s="89">
        <v>45139</v>
      </c>
      <c r="C10" s="113">
        <v>45139</v>
      </c>
      <c r="D10" s="113">
        <v>45169</v>
      </c>
      <c r="E10" s="84">
        <v>3349400</v>
      </c>
      <c r="F10" s="84">
        <v>15700</v>
      </c>
      <c r="G10" s="83">
        <f t="shared" si="0"/>
        <v>3333700</v>
      </c>
      <c r="H10" s="84">
        <v>3333700</v>
      </c>
      <c r="I10" s="110"/>
      <c r="J10" s="84">
        <v>3467000</v>
      </c>
      <c r="K10" s="84">
        <v>22200</v>
      </c>
      <c r="L10" s="83">
        <f t="shared" si="3"/>
        <v>3444800</v>
      </c>
      <c r="M10" s="84">
        <v>3444800</v>
      </c>
      <c r="N10" s="110"/>
      <c r="O10" s="84">
        <v>3538700</v>
      </c>
      <c r="P10" s="84">
        <v>21100</v>
      </c>
      <c r="Q10" s="83">
        <f t="shared" si="4"/>
        <v>3517600</v>
      </c>
      <c r="R10" s="84">
        <v>3517600</v>
      </c>
      <c r="S10" s="106"/>
    </row>
    <row r="11" spans="1:19" ht="18">
      <c r="B11" s="89">
        <v>45170</v>
      </c>
      <c r="C11" s="113">
        <v>45170</v>
      </c>
      <c r="D11" s="113">
        <v>45199</v>
      </c>
      <c r="E11" s="84">
        <v>3562300</v>
      </c>
      <c r="F11" s="84">
        <v>18600</v>
      </c>
      <c r="G11" s="83">
        <f t="shared" si="0"/>
        <v>3543700</v>
      </c>
      <c r="H11" s="84">
        <v>3543700</v>
      </c>
      <c r="I11" s="110"/>
      <c r="J11" s="84">
        <v>3739000</v>
      </c>
      <c r="K11" s="84">
        <v>26800</v>
      </c>
      <c r="L11" s="83">
        <f t="shared" si="3"/>
        <v>3712200</v>
      </c>
      <c r="M11" s="84">
        <v>3712200</v>
      </c>
      <c r="N11" s="110"/>
      <c r="O11" s="84">
        <v>3821900</v>
      </c>
      <c r="P11" s="84">
        <v>25700</v>
      </c>
      <c r="Q11" s="83">
        <f t="shared" si="4"/>
        <v>3796200</v>
      </c>
      <c r="R11" s="84">
        <v>3796200</v>
      </c>
      <c r="S11" s="106"/>
    </row>
    <row r="12" spans="1:19" ht="18">
      <c r="B12" s="89">
        <v>45200</v>
      </c>
      <c r="C12" s="113">
        <v>45200</v>
      </c>
      <c r="D12" s="113">
        <v>45230</v>
      </c>
      <c r="E12" s="84">
        <v>3139200</v>
      </c>
      <c r="F12" s="84">
        <v>18100</v>
      </c>
      <c r="G12" s="83">
        <f t="shared" si="0"/>
        <v>3121100</v>
      </c>
      <c r="H12" s="84">
        <v>3121100</v>
      </c>
      <c r="I12" s="110"/>
      <c r="J12" s="84">
        <v>3246100</v>
      </c>
      <c r="K12" s="84">
        <v>26100</v>
      </c>
      <c r="L12" s="83">
        <f t="shared" si="3"/>
        <v>3220000</v>
      </c>
      <c r="M12" s="84">
        <v>3220000</v>
      </c>
      <c r="N12" s="110"/>
      <c r="O12" s="84">
        <v>3281400</v>
      </c>
      <c r="P12" s="84">
        <v>25900</v>
      </c>
      <c r="Q12" s="83">
        <f t="shared" si="4"/>
        <v>3255500</v>
      </c>
      <c r="R12" s="84">
        <v>3255500</v>
      </c>
      <c r="S12" s="106"/>
    </row>
    <row r="13" spans="1:19" ht="18">
      <c r="B13" s="89">
        <v>45231</v>
      </c>
      <c r="C13" s="113">
        <v>45231</v>
      </c>
      <c r="D13" s="113">
        <v>45260</v>
      </c>
      <c r="E13" s="84">
        <v>1942600</v>
      </c>
      <c r="F13" s="84">
        <v>18500</v>
      </c>
      <c r="G13" s="83">
        <f t="shared" si="0"/>
        <v>1924100</v>
      </c>
      <c r="H13" s="84">
        <v>1924100</v>
      </c>
      <c r="I13" s="110"/>
      <c r="J13" s="84">
        <v>1989300</v>
      </c>
      <c r="K13" s="84">
        <v>28300</v>
      </c>
      <c r="L13" s="83">
        <f t="shared" si="3"/>
        <v>1961000</v>
      </c>
      <c r="M13" s="84">
        <v>1961000</v>
      </c>
      <c r="N13" s="110"/>
      <c r="O13" s="84">
        <v>2080500</v>
      </c>
      <c r="P13" s="84">
        <v>26800</v>
      </c>
      <c r="Q13" s="83">
        <f t="shared" si="4"/>
        <v>2053700</v>
      </c>
      <c r="R13" s="84">
        <v>2053700</v>
      </c>
      <c r="S13" s="106"/>
    </row>
    <row r="14" spans="1:19" ht="18">
      <c r="B14" s="89">
        <v>45261</v>
      </c>
      <c r="C14" s="113">
        <v>45261</v>
      </c>
      <c r="D14" s="113">
        <v>45291</v>
      </c>
      <c r="E14" s="84">
        <v>2338000</v>
      </c>
      <c r="F14" s="84">
        <v>22400</v>
      </c>
      <c r="G14" s="83">
        <f t="shared" si="0"/>
        <v>2315600</v>
      </c>
      <c r="H14" s="84">
        <v>2315600</v>
      </c>
      <c r="I14" s="110"/>
      <c r="J14" s="84">
        <v>2464700</v>
      </c>
      <c r="K14" s="84">
        <v>33000</v>
      </c>
      <c r="L14" s="83">
        <f t="shared" si="3"/>
        <v>2431700</v>
      </c>
      <c r="M14" s="84">
        <v>2431700</v>
      </c>
      <c r="N14" s="110"/>
      <c r="O14" s="84">
        <v>2535300</v>
      </c>
      <c r="P14" s="84">
        <v>31800</v>
      </c>
      <c r="Q14" s="83">
        <f t="shared" si="4"/>
        <v>2503500</v>
      </c>
      <c r="R14" s="84">
        <v>2503500</v>
      </c>
      <c r="S14" s="106"/>
    </row>
    <row r="15" spans="1:19" ht="18">
      <c r="B15" s="127" t="s">
        <v>10</v>
      </c>
      <c r="C15" s="129"/>
      <c r="D15" s="129"/>
      <c r="E15" s="84"/>
      <c r="F15" s="84"/>
      <c r="G15" s="167">
        <f>SUM(G4:G14)</f>
        <v>34737970</v>
      </c>
      <c r="H15" s="167">
        <f>SUM(H4:H14)</f>
        <v>34737970</v>
      </c>
      <c r="I15" s="110"/>
      <c r="J15" s="84"/>
      <c r="K15" s="84"/>
      <c r="L15" s="167">
        <f>SUM(L4:L14)</f>
        <v>36268700</v>
      </c>
      <c r="M15" s="167">
        <f>SUM(M4:M14)</f>
        <v>36268700</v>
      </c>
      <c r="N15" s="110"/>
      <c r="O15" s="84"/>
      <c r="P15" s="84"/>
      <c r="Q15" s="167">
        <f>SUM(Q4:Q14)</f>
        <v>37131700</v>
      </c>
      <c r="R15" s="167">
        <f>SUM(R4:R14)</f>
        <v>37131700</v>
      </c>
      <c r="S15" s="106"/>
    </row>
    <row r="16" spans="1:19" ht="18">
      <c r="B16" s="89">
        <v>45292</v>
      </c>
      <c r="C16" s="113">
        <v>45292</v>
      </c>
      <c r="D16" s="113">
        <v>45322</v>
      </c>
      <c r="E16" s="84">
        <v>1180400</v>
      </c>
      <c r="F16" s="84">
        <v>19000</v>
      </c>
      <c r="G16" s="83">
        <f t="shared" si="0"/>
        <v>1161400</v>
      </c>
      <c r="H16" s="83">
        <v>1161400</v>
      </c>
      <c r="I16" s="110"/>
      <c r="J16" s="84">
        <v>1234200</v>
      </c>
      <c r="K16" s="84">
        <v>29900</v>
      </c>
      <c r="L16" s="83">
        <f t="shared" ref="L16:L19" si="5">J16-K16</f>
        <v>1204300</v>
      </c>
      <c r="M16" s="83">
        <v>1204300</v>
      </c>
      <c r="N16" s="110"/>
      <c r="O16" s="84">
        <v>1302000</v>
      </c>
      <c r="P16" s="84">
        <v>30000</v>
      </c>
      <c r="Q16" s="83">
        <f t="shared" ref="Q16:Q19" si="6">O16-P16</f>
        <v>1272000</v>
      </c>
      <c r="R16" s="83">
        <v>1272000</v>
      </c>
      <c r="S16" s="106"/>
    </row>
    <row r="17" spans="1:19" ht="18">
      <c r="B17" s="89">
        <v>45323</v>
      </c>
      <c r="C17" s="113">
        <v>45323</v>
      </c>
      <c r="D17" s="113">
        <v>45351</v>
      </c>
      <c r="E17" s="84">
        <v>2760000</v>
      </c>
      <c r="F17" s="84">
        <v>18000</v>
      </c>
      <c r="G17" s="83">
        <f t="shared" si="0"/>
        <v>2742000</v>
      </c>
      <c r="H17" s="83">
        <v>2742000</v>
      </c>
      <c r="I17" s="110"/>
      <c r="J17" s="84">
        <v>2947000</v>
      </c>
      <c r="K17" s="84">
        <v>26000</v>
      </c>
      <c r="L17" s="83">
        <f t="shared" si="5"/>
        <v>2921000</v>
      </c>
      <c r="M17" s="83">
        <v>2921000</v>
      </c>
      <c r="N17" s="110"/>
      <c r="O17" s="84">
        <v>3067000</v>
      </c>
      <c r="P17" s="84">
        <v>25000</v>
      </c>
      <c r="Q17" s="83">
        <f t="shared" si="6"/>
        <v>3042000</v>
      </c>
      <c r="R17" s="83">
        <v>3042000</v>
      </c>
      <c r="S17" s="106"/>
    </row>
    <row r="18" spans="1:19" ht="18">
      <c r="B18" s="89">
        <v>45352</v>
      </c>
      <c r="C18" s="113">
        <v>45352</v>
      </c>
      <c r="D18" s="113">
        <v>45382</v>
      </c>
      <c r="E18" s="84">
        <v>3845000</v>
      </c>
      <c r="F18" s="84">
        <v>17000</v>
      </c>
      <c r="G18" s="83">
        <f t="shared" si="0"/>
        <v>3828000</v>
      </c>
      <c r="H18" s="83">
        <v>3828000</v>
      </c>
      <c r="I18" s="110"/>
      <c r="J18" s="84">
        <v>4012000</v>
      </c>
      <c r="K18" s="84">
        <v>27000</v>
      </c>
      <c r="L18" s="83">
        <f t="shared" si="5"/>
        <v>3985000</v>
      </c>
      <c r="M18" s="83">
        <v>3985000</v>
      </c>
      <c r="N18" s="110"/>
      <c r="O18" s="84">
        <v>4216000</v>
      </c>
      <c r="P18" s="84">
        <v>25000</v>
      </c>
      <c r="Q18" s="83">
        <f t="shared" si="6"/>
        <v>4191000</v>
      </c>
      <c r="R18" s="83">
        <v>4191000</v>
      </c>
      <c r="S18" s="106"/>
    </row>
    <row r="19" spans="1:19" ht="18">
      <c r="B19" s="89">
        <v>45383</v>
      </c>
      <c r="C19" s="113">
        <v>45383</v>
      </c>
      <c r="D19" s="113">
        <v>45397</v>
      </c>
      <c r="E19" s="173">
        <f>3261000*Apportioning!C4</f>
        <v>1630500</v>
      </c>
      <c r="F19" s="84">
        <v>15000</v>
      </c>
      <c r="G19" s="83">
        <f t="shared" si="0"/>
        <v>1615500</v>
      </c>
      <c r="H19" s="83">
        <v>3246000</v>
      </c>
      <c r="I19" s="110"/>
      <c r="J19" s="173">
        <f>3393000*Apportioning!C9</f>
        <v>1696500</v>
      </c>
      <c r="K19" s="84">
        <v>23000</v>
      </c>
      <c r="L19" s="83">
        <f t="shared" si="5"/>
        <v>1673500</v>
      </c>
      <c r="M19" s="83">
        <v>3370000</v>
      </c>
      <c r="N19" s="110"/>
      <c r="O19" s="173">
        <f>3478000*Apportioning!C14</f>
        <v>1739000</v>
      </c>
      <c r="P19" s="84">
        <v>20000</v>
      </c>
      <c r="Q19" s="83">
        <f t="shared" si="6"/>
        <v>1719000</v>
      </c>
      <c r="R19" s="83">
        <v>3458000</v>
      </c>
      <c r="S19" s="106"/>
    </row>
    <row r="20" spans="1:19" ht="18">
      <c r="B20" s="127" t="s">
        <v>10</v>
      </c>
      <c r="C20" s="104"/>
      <c r="D20" s="104"/>
      <c r="E20" s="104"/>
      <c r="F20" s="104"/>
      <c r="G20" s="168">
        <f>SUM(G16:G19)</f>
        <v>9346900</v>
      </c>
      <c r="H20" s="168">
        <f>SUM(H16:H19)</f>
        <v>10977400</v>
      </c>
      <c r="I20" s="110"/>
      <c r="J20" s="104"/>
      <c r="K20" s="104"/>
      <c r="L20" s="168">
        <f>SUM(L16:L19)</f>
        <v>9783800</v>
      </c>
      <c r="M20" s="168">
        <f>SUM(M16:M19)</f>
        <v>11480300</v>
      </c>
      <c r="N20" s="110"/>
      <c r="O20" s="104"/>
      <c r="P20" s="104"/>
      <c r="Q20" s="168">
        <f>SUM(Q16:Q19)</f>
        <v>10224000</v>
      </c>
      <c r="R20" s="168">
        <f>SUM(R16:R19)</f>
        <v>11963000</v>
      </c>
    </row>
    <row r="21" spans="1:19" ht="13.5" customHeight="1"/>
    <row r="22" spans="1:19" ht="13.5" customHeight="1">
      <c r="A22" s="170"/>
      <c r="B22" s="171" t="s">
        <v>150</v>
      </c>
    </row>
    <row r="23" spans="1:19" ht="27" customHeight="1"/>
    <row r="24" spans="1:19" ht="13.5" customHeight="1"/>
    <row r="25" spans="1:19" ht="13.5" customHeight="1"/>
    <row r="26" spans="1:19" ht="13.5" customHeight="1"/>
    <row r="27" spans="1:19" ht="13.5" customHeight="1"/>
    <row r="28" spans="1:19" ht="13.5" customHeight="1"/>
    <row r="29" spans="1:19" ht="13.5" customHeight="1"/>
    <row r="30" spans="1:19" ht="13.5" customHeight="1"/>
    <row r="31" spans="1:19" ht="13.5" customHeight="1"/>
    <row r="32" spans="1:19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</sheetData>
  <mergeCells count="3">
    <mergeCell ref="E2:H2"/>
    <mergeCell ref="J2:M2"/>
    <mergeCell ref="O2:R2"/>
  </mergeCells>
  <phoneticPr fontId="12" type="noConversion"/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rgb="FF00B050"/>
  </sheetPr>
  <dimension ref="A1:U164"/>
  <sheetViews>
    <sheetView topLeftCell="A112" zoomScaleNormal="100" workbookViewId="0">
      <selection activeCell="E21" sqref="E21"/>
    </sheetView>
  </sheetViews>
  <sheetFormatPr defaultRowHeight="14.4"/>
  <cols>
    <col min="1" max="1" width="3.44140625" style="64" customWidth="1"/>
    <col min="2" max="2" width="13.21875" style="64" customWidth="1"/>
    <col min="3" max="4" width="10.33203125" style="64" bestFit="1" customWidth="1"/>
    <col min="5" max="5" width="10.88671875" style="64" bestFit="1" customWidth="1"/>
    <col min="6" max="6" width="11.21875" style="64" bestFit="1" customWidth="1"/>
    <col min="7" max="7" width="13.5546875" style="64" bestFit="1" customWidth="1"/>
    <col min="8" max="9" width="13.6640625" style="64" bestFit="1" customWidth="1"/>
    <col min="10" max="10" width="10" style="64" customWidth="1"/>
    <col min="11" max="11" width="8.88671875" style="64" bestFit="1" customWidth="1"/>
    <col min="12" max="12" width="6.6640625" style="64" bestFit="1" customWidth="1"/>
    <col min="13" max="16384" width="8.88671875" style="64"/>
  </cols>
  <sheetData>
    <row r="1" spans="2:21" ht="15" customHeight="1">
      <c r="B1" s="110" t="s">
        <v>30</v>
      </c>
      <c r="C1" s="110"/>
      <c r="D1" s="110"/>
      <c r="E1" s="110"/>
      <c r="F1" s="110"/>
      <c r="G1" s="110"/>
      <c r="H1" s="110"/>
    </row>
    <row r="2" spans="2:21" s="35" customFormat="1" ht="28.8">
      <c r="B2" s="109" t="s">
        <v>51</v>
      </c>
      <c r="C2" s="109" t="s">
        <v>111</v>
      </c>
      <c r="D2" s="109" t="s">
        <v>112</v>
      </c>
      <c r="E2" s="109" t="s">
        <v>82</v>
      </c>
      <c r="F2" s="109" t="s">
        <v>83</v>
      </c>
      <c r="G2" s="109" t="s">
        <v>84</v>
      </c>
      <c r="H2" s="109" t="s">
        <v>81</v>
      </c>
      <c r="J2" s="64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</row>
    <row r="3" spans="2:21">
      <c r="B3" s="89">
        <v>44958</v>
      </c>
      <c r="C3" s="113">
        <v>44958</v>
      </c>
      <c r="D3" s="113">
        <v>44985</v>
      </c>
      <c r="E3" s="114">
        <v>8774000</v>
      </c>
      <c r="F3" s="114">
        <v>35000</v>
      </c>
      <c r="G3" s="115">
        <f>E3-F3</f>
        <v>8739000</v>
      </c>
      <c r="H3" s="116">
        <v>8739000</v>
      </c>
      <c r="I3" s="90"/>
    </row>
    <row r="4" spans="2:21">
      <c r="B4" s="89">
        <v>44986</v>
      </c>
      <c r="C4" s="113">
        <v>44986</v>
      </c>
      <c r="D4" s="113">
        <v>45013</v>
      </c>
      <c r="E4" s="114">
        <v>8163400</v>
      </c>
      <c r="F4" s="114">
        <v>35000</v>
      </c>
      <c r="G4" s="115">
        <f t="shared" ref="G4:G21" si="0">E4-F4</f>
        <v>8128400</v>
      </c>
      <c r="H4" s="116">
        <v>8128400</v>
      </c>
      <c r="I4" s="90"/>
    </row>
    <row r="5" spans="2:21">
      <c r="B5" s="89">
        <v>44986</v>
      </c>
      <c r="C5" s="113">
        <v>44986</v>
      </c>
      <c r="D5" s="113">
        <v>45016</v>
      </c>
      <c r="E5" s="114">
        <v>107660</v>
      </c>
      <c r="F5" s="114">
        <v>4000</v>
      </c>
      <c r="G5" s="115">
        <f t="shared" si="0"/>
        <v>103660</v>
      </c>
      <c r="H5" s="116">
        <v>103660</v>
      </c>
      <c r="I5" s="90"/>
    </row>
    <row r="6" spans="2:21">
      <c r="B6" s="89">
        <v>45017</v>
      </c>
      <c r="C6" s="113">
        <v>45017</v>
      </c>
      <c r="D6" s="113">
        <v>45046</v>
      </c>
      <c r="E6" s="114">
        <v>8748000</v>
      </c>
      <c r="F6" s="114">
        <v>38000</v>
      </c>
      <c r="G6" s="115">
        <f t="shared" si="0"/>
        <v>8710000</v>
      </c>
      <c r="H6" s="116">
        <v>8710000</v>
      </c>
      <c r="I6" s="90"/>
    </row>
    <row r="7" spans="2:21">
      <c r="B7" s="89">
        <v>45047</v>
      </c>
      <c r="C7" s="113">
        <v>45047</v>
      </c>
      <c r="D7" s="113">
        <v>45077</v>
      </c>
      <c r="E7" s="114">
        <v>8810000</v>
      </c>
      <c r="F7" s="114">
        <v>38000</v>
      </c>
      <c r="G7" s="115">
        <f t="shared" si="0"/>
        <v>8772000</v>
      </c>
      <c r="H7" s="116">
        <v>8772000</v>
      </c>
      <c r="I7" s="90"/>
    </row>
    <row r="8" spans="2:21">
      <c r="B8" s="89">
        <v>45078</v>
      </c>
      <c r="C8" s="113">
        <v>45078</v>
      </c>
      <c r="D8" s="113">
        <v>45107</v>
      </c>
      <c r="E8" s="114">
        <v>7419000</v>
      </c>
      <c r="F8" s="114">
        <v>38000</v>
      </c>
      <c r="G8" s="115">
        <f t="shared" si="0"/>
        <v>7381000</v>
      </c>
      <c r="H8" s="116">
        <v>7381000</v>
      </c>
      <c r="I8" s="90"/>
    </row>
    <row r="9" spans="2:21">
      <c r="B9" s="89">
        <v>45108</v>
      </c>
      <c r="C9" s="113">
        <v>45108</v>
      </c>
      <c r="D9" s="113">
        <v>45138</v>
      </c>
      <c r="E9" s="114">
        <v>5721000</v>
      </c>
      <c r="F9" s="114">
        <v>40000</v>
      </c>
      <c r="G9" s="115">
        <f t="shared" si="0"/>
        <v>5681000</v>
      </c>
      <c r="H9" s="116">
        <v>5681000</v>
      </c>
      <c r="I9" s="90"/>
    </row>
    <row r="10" spans="2:21">
      <c r="B10" s="89">
        <v>45139</v>
      </c>
      <c r="C10" s="113">
        <v>45139</v>
      </c>
      <c r="D10" s="113">
        <v>45169</v>
      </c>
      <c r="E10" s="117">
        <v>7678000</v>
      </c>
      <c r="F10" s="114">
        <v>39000</v>
      </c>
      <c r="G10" s="115">
        <f t="shared" si="0"/>
        <v>7639000</v>
      </c>
      <c r="H10" s="116">
        <v>7639000</v>
      </c>
      <c r="I10" s="90"/>
    </row>
    <row r="11" spans="2:21">
      <c r="B11" s="89">
        <v>45170</v>
      </c>
      <c r="C11" s="113">
        <v>45170</v>
      </c>
      <c r="D11" s="113">
        <v>45199</v>
      </c>
      <c r="E11" s="117">
        <v>6645000</v>
      </c>
      <c r="F11" s="114">
        <v>40000</v>
      </c>
      <c r="G11" s="115">
        <f t="shared" si="0"/>
        <v>6605000</v>
      </c>
      <c r="H11" s="116">
        <v>6605000</v>
      </c>
      <c r="I11" s="90"/>
    </row>
    <row r="12" spans="2:21">
      <c r="B12" s="89">
        <v>45200</v>
      </c>
      <c r="C12" s="113">
        <v>45200</v>
      </c>
      <c r="D12" s="113">
        <v>45216</v>
      </c>
      <c r="E12" s="117">
        <v>4062000</v>
      </c>
      <c r="F12" s="114">
        <v>22000</v>
      </c>
      <c r="G12" s="115">
        <f t="shared" si="0"/>
        <v>4040000</v>
      </c>
      <c r="H12" s="116">
        <v>4040000</v>
      </c>
      <c r="I12" s="90"/>
    </row>
    <row r="13" spans="2:21">
      <c r="B13" s="89">
        <v>45200</v>
      </c>
      <c r="C13" s="113">
        <v>45216</v>
      </c>
      <c r="D13" s="113">
        <v>45230</v>
      </c>
      <c r="E13" s="117">
        <v>3790800</v>
      </c>
      <c r="F13" s="114">
        <v>24000</v>
      </c>
      <c r="G13" s="115">
        <f t="shared" si="0"/>
        <v>3766800</v>
      </c>
      <c r="H13" s="116">
        <v>3766800</v>
      </c>
      <c r="I13" s="90"/>
    </row>
    <row r="14" spans="2:21">
      <c r="B14" s="89">
        <v>45231</v>
      </c>
      <c r="C14" s="113">
        <v>45231</v>
      </c>
      <c r="D14" s="113">
        <v>45260</v>
      </c>
      <c r="E14" s="117">
        <v>6016600</v>
      </c>
      <c r="F14" s="114">
        <v>46900</v>
      </c>
      <c r="G14" s="115">
        <f t="shared" si="0"/>
        <v>5969700</v>
      </c>
      <c r="H14" s="116">
        <v>5969700</v>
      </c>
      <c r="I14" s="90"/>
    </row>
    <row r="15" spans="2:21">
      <c r="B15" s="89">
        <v>45261</v>
      </c>
      <c r="C15" s="113">
        <v>45261</v>
      </c>
      <c r="D15" s="113">
        <v>45291</v>
      </c>
      <c r="E15" s="117">
        <v>5848600</v>
      </c>
      <c r="F15" s="114">
        <v>49600</v>
      </c>
      <c r="G15" s="115">
        <f t="shared" si="0"/>
        <v>5799000</v>
      </c>
      <c r="H15" s="116">
        <v>5799000</v>
      </c>
      <c r="I15" s="90"/>
    </row>
    <row r="16" spans="2:21">
      <c r="B16" s="127" t="s">
        <v>10</v>
      </c>
      <c r="C16" s="112"/>
      <c r="D16" s="112"/>
      <c r="E16" s="117"/>
      <c r="F16" s="114"/>
      <c r="G16" s="167">
        <f>SUM(G3:G15)</f>
        <v>81334560</v>
      </c>
      <c r="H16" s="167">
        <f>SUM(H3:H15)</f>
        <v>81334560</v>
      </c>
      <c r="I16" s="90"/>
    </row>
    <row r="17" spans="2:21">
      <c r="B17" s="89">
        <v>45292</v>
      </c>
      <c r="C17" s="113">
        <v>45292</v>
      </c>
      <c r="D17" s="113">
        <v>45322</v>
      </c>
      <c r="E17" s="117">
        <v>6687800</v>
      </c>
      <c r="F17" s="114">
        <v>46700</v>
      </c>
      <c r="G17" s="115">
        <f t="shared" si="0"/>
        <v>6641100</v>
      </c>
      <c r="H17" s="116">
        <v>6641100</v>
      </c>
      <c r="I17" s="90"/>
    </row>
    <row r="18" spans="2:21">
      <c r="B18" s="89">
        <v>45323</v>
      </c>
      <c r="C18" s="113">
        <v>45323</v>
      </c>
      <c r="D18" s="113">
        <v>45351</v>
      </c>
      <c r="E18" s="117">
        <v>7583900</v>
      </c>
      <c r="F18" s="114">
        <v>41900</v>
      </c>
      <c r="G18" s="115">
        <f t="shared" si="0"/>
        <v>7542000</v>
      </c>
      <c r="H18" s="116">
        <v>7542000</v>
      </c>
      <c r="I18" s="90"/>
    </row>
    <row r="19" spans="2:21">
      <c r="B19" s="89">
        <v>45352</v>
      </c>
      <c r="C19" s="113">
        <v>45352</v>
      </c>
      <c r="D19" s="113">
        <v>45380</v>
      </c>
      <c r="E19" s="117">
        <v>6799500</v>
      </c>
      <c r="F19" s="114">
        <v>39300</v>
      </c>
      <c r="G19" s="115">
        <f t="shared" si="0"/>
        <v>6760200</v>
      </c>
      <c r="H19" s="116">
        <v>6760200</v>
      </c>
      <c r="I19" s="90"/>
    </row>
    <row r="20" spans="2:21">
      <c r="B20" s="89">
        <v>45352</v>
      </c>
      <c r="C20" s="113">
        <v>45380</v>
      </c>
      <c r="D20" s="113">
        <v>45382</v>
      </c>
      <c r="E20" s="117">
        <v>797600</v>
      </c>
      <c r="F20" s="114">
        <v>4200</v>
      </c>
      <c r="G20" s="115">
        <f t="shared" si="0"/>
        <v>793400</v>
      </c>
      <c r="H20" s="116">
        <v>793400</v>
      </c>
      <c r="I20" s="90"/>
    </row>
    <row r="21" spans="2:21">
      <c r="B21" s="89">
        <v>45383</v>
      </c>
      <c r="C21" s="113">
        <v>45383</v>
      </c>
      <c r="D21" s="113">
        <v>45397</v>
      </c>
      <c r="E21" s="176">
        <f>7765400*Apportioning!C19</f>
        <v>3882700</v>
      </c>
      <c r="F21" s="114">
        <v>39500</v>
      </c>
      <c r="G21" s="115">
        <f t="shared" si="0"/>
        <v>3843200</v>
      </c>
      <c r="H21" s="116">
        <v>7725900</v>
      </c>
      <c r="I21" s="90"/>
    </row>
    <row r="22" spans="2:21">
      <c r="B22" s="127" t="s">
        <v>10</v>
      </c>
      <c r="C22" s="111"/>
      <c r="D22" s="111"/>
      <c r="E22" s="111"/>
      <c r="F22" s="111"/>
      <c r="G22" s="128">
        <f>SUM(G17:G21)</f>
        <v>25579900</v>
      </c>
      <c r="H22" s="128">
        <f>SUM(H17:H21)</f>
        <v>29462600</v>
      </c>
    </row>
    <row r="23" spans="2:21" ht="18">
      <c r="B23" s="110" t="s">
        <v>113</v>
      </c>
      <c r="C23" s="110"/>
      <c r="D23" s="110"/>
      <c r="E23" s="118"/>
    </row>
    <row r="24" spans="2:21" s="35" customFormat="1" ht="28.8">
      <c r="B24" s="120" t="s">
        <v>51</v>
      </c>
      <c r="C24" s="120" t="s">
        <v>111</v>
      </c>
      <c r="D24" s="120" t="s">
        <v>112</v>
      </c>
      <c r="E24" s="120" t="s">
        <v>25</v>
      </c>
      <c r="F24" s="120" t="s">
        <v>82</v>
      </c>
      <c r="G24" s="120" t="s">
        <v>83</v>
      </c>
      <c r="H24" s="120" t="s">
        <v>84</v>
      </c>
      <c r="I24" s="120" t="s">
        <v>81</v>
      </c>
      <c r="J24" s="64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</row>
    <row r="25" spans="2:21">
      <c r="B25" s="89">
        <v>44958</v>
      </c>
      <c r="C25" s="113">
        <v>44958</v>
      </c>
      <c r="D25" s="113">
        <v>44985</v>
      </c>
      <c r="E25" s="91" t="s">
        <v>27</v>
      </c>
      <c r="F25" s="15">
        <v>1693900</v>
      </c>
      <c r="G25" s="15">
        <v>9900</v>
      </c>
      <c r="H25" s="117">
        <f t="shared" ref="H25:H55" si="1">F25-G25</f>
        <v>1684000</v>
      </c>
      <c r="I25" s="121">
        <v>1684000</v>
      </c>
    </row>
    <row r="26" spans="2:21">
      <c r="B26" s="89">
        <v>44958</v>
      </c>
      <c r="C26" s="113">
        <v>44958</v>
      </c>
      <c r="D26" s="113">
        <v>44985</v>
      </c>
      <c r="E26" s="91" t="s">
        <v>28</v>
      </c>
      <c r="F26" s="87">
        <v>1732400</v>
      </c>
      <c r="G26" s="15">
        <v>8900</v>
      </c>
      <c r="H26" s="117">
        <f t="shared" si="1"/>
        <v>1723500</v>
      </c>
      <c r="I26" s="121">
        <v>1723500</v>
      </c>
    </row>
    <row r="27" spans="2:21">
      <c r="B27" s="89">
        <v>44986</v>
      </c>
      <c r="C27" s="113">
        <v>44986</v>
      </c>
      <c r="D27" s="113">
        <v>45016</v>
      </c>
      <c r="E27" s="91" t="s">
        <v>27</v>
      </c>
      <c r="F27" s="15">
        <v>1839700</v>
      </c>
      <c r="G27" s="15">
        <v>10500</v>
      </c>
      <c r="H27" s="117">
        <f t="shared" ref="H27:H28" si="2">F27-G27</f>
        <v>1829200</v>
      </c>
      <c r="I27" s="121">
        <v>1829200</v>
      </c>
    </row>
    <row r="28" spans="2:21">
      <c r="B28" s="89">
        <v>44986</v>
      </c>
      <c r="C28" s="113">
        <v>44986</v>
      </c>
      <c r="D28" s="113">
        <v>45016</v>
      </c>
      <c r="E28" s="91" t="s">
        <v>28</v>
      </c>
      <c r="F28" s="15">
        <v>1876000</v>
      </c>
      <c r="G28" s="15">
        <v>9100</v>
      </c>
      <c r="H28" s="117">
        <f t="shared" si="2"/>
        <v>1866900</v>
      </c>
      <c r="I28" s="121">
        <v>1866900</v>
      </c>
    </row>
    <row r="29" spans="2:21">
      <c r="B29" s="89">
        <v>45017</v>
      </c>
      <c r="C29" s="113">
        <v>45017</v>
      </c>
      <c r="D29" s="113">
        <v>45046</v>
      </c>
      <c r="E29" s="91" t="s">
        <v>27</v>
      </c>
      <c r="F29" s="15">
        <v>1836000</v>
      </c>
      <c r="G29" s="15">
        <v>9600</v>
      </c>
      <c r="H29" s="117">
        <f>F29-G29</f>
        <v>1826400</v>
      </c>
      <c r="I29" s="121">
        <v>1826400</v>
      </c>
    </row>
    <row r="30" spans="2:21">
      <c r="B30" s="89">
        <v>45017</v>
      </c>
      <c r="C30" s="113">
        <v>45017</v>
      </c>
      <c r="D30" s="113">
        <v>45046</v>
      </c>
      <c r="E30" s="91" t="s">
        <v>28</v>
      </c>
      <c r="F30" s="15">
        <v>1862300</v>
      </c>
      <c r="G30" s="15">
        <v>8600</v>
      </c>
      <c r="H30" s="117">
        <f t="shared" ref="H30:H40" si="3">F30-G30</f>
        <v>1853700</v>
      </c>
      <c r="I30" s="121">
        <v>1853700</v>
      </c>
    </row>
    <row r="31" spans="2:21">
      <c r="B31" s="89">
        <v>45047</v>
      </c>
      <c r="C31" s="113">
        <v>45047</v>
      </c>
      <c r="D31" s="113">
        <v>45077</v>
      </c>
      <c r="E31" s="91" t="s">
        <v>27</v>
      </c>
      <c r="F31" s="15">
        <v>579000</v>
      </c>
      <c r="G31" s="15">
        <v>3100</v>
      </c>
      <c r="H31" s="117">
        <f t="shared" si="3"/>
        <v>575900</v>
      </c>
      <c r="I31" s="121">
        <v>575900</v>
      </c>
    </row>
    <row r="32" spans="2:21">
      <c r="B32" s="89">
        <v>45047</v>
      </c>
      <c r="C32" s="113">
        <v>45047</v>
      </c>
      <c r="D32" s="113">
        <v>45077</v>
      </c>
      <c r="E32" s="91" t="s">
        <v>28</v>
      </c>
      <c r="F32" s="15">
        <v>573400</v>
      </c>
      <c r="G32" s="15">
        <v>3100</v>
      </c>
      <c r="H32" s="117">
        <f t="shared" si="3"/>
        <v>570300</v>
      </c>
      <c r="I32" s="121">
        <v>570300</v>
      </c>
    </row>
    <row r="33" spans="2:9">
      <c r="B33" s="89">
        <v>45078</v>
      </c>
      <c r="C33" s="113">
        <v>45078</v>
      </c>
      <c r="D33" s="113">
        <v>45107</v>
      </c>
      <c r="E33" s="91" t="s">
        <v>27</v>
      </c>
      <c r="F33" s="15">
        <v>1638500</v>
      </c>
      <c r="G33" s="15">
        <v>9300</v>
      </c>
      <c r="H33" s="117">
        <f t="shared" si="3"/>
        <v>1629200</v>
      </c>
      <c r="I33" s="121">
        <v>1629200</v>
      </c>
    </row>
    <row r="34" spans="2:9">
      <c r="B34" s="89">
        <v>45078</v>
      </c>
      <c r="C34" s="113">
        <v>45078</v>
      </c>
      <c r="D34" s="113">
        <v>45107</v>
      </c>
      <c r="E34" s="91" t="s">
        <v>28</v>
      </c>
      <c r="F34" s="15">
        <v>1673800</v>
      </c>
      <c r="G34" s="15">
        <v>8400</v>
      </c>
      <c r="H34" s="117">
        <f t="shared" si="3"/>
        <v>1665400</v>
      </c>
      <c r="I34" s="121">
        <v>1665400</v>
      </c>
    </row>
    <row r="35" spans="2:9">
      <c r="B35" s="89">
        <v>45108</v>
      </c>
      <c r="C35" s="113">
        <v>45108</v>
      </c>
      <c r="D35" s="113">
        <v>45138</v>
      </c>
      <c r="E35" s="91" t="s">
        <v>27</v>
      </c>
      <c r="F35" s="15">
        <v>1235700</v>
      </c>
      <c r="G35" s="15">
        <v>10600</v>
      </c>
      <c r="H35" s="117">
        <f t="shared" si="3"/>
        <v>1225100</v>
      </c>
      <c r="I35" s="121">
        <v>1225100</v>
      </c>
    </row>
    <row r="36" spans="2:9">
      <c r="B36" s="89">
        <v>45108</v>
      </c>
      <c r="C36" s="113">
        <v>45108</v>
      </c>
      <c r="D36" s="113">
        <v>45138</v>
      </c>
      <c r="E36" s="91" t="s">
        <v>28</v>
      </c>
      <c r="F36" s="15">
        <v>1345700</v>
      </c>
      <c r="G36" s="15">
        <v>9000</v>
      </c>
      <c r="H36" s="117">
        <f t="shared" si="3"/>
        <v>1336700</v>
      </c>
      <c r="I36" s="121">
        <v>1336700</v>
      </c>
    </row>
    <row r="37" spans="2:9">
      <c r="B37" s="89">
        <v>45139</v>
      </c>
      <c r="C37" s="113">
        <v>45139</v>
      </c>
      <c r="D37" s="113">
        <v>45169</v>
      </c>
      <c r="E37" s="91" t="s">
        <v>27</v>
      </c>
      <c r="F37" s="87">
        <v>1650500</v>
      </c>
      <c r="G37" s="15">
        <v>10300</v>
      </c>
      <c r="H37" s="117">
        <f t="shared" si="3"/>
        <v>1640200</v>
      </c>
      <c r="I37" s="121">
        <v>1640200</v>
      </c>
    </row>
    <row r="38" spans="2:9">
      <c r="B38" s="89">
        <v>45139</v>
      </c>
      <c r="C38" s="113">
        <v>45139</v>
      </c>
      <c r="D38" s="113">
        <v>45169</v>
      </c>
      <c r="E38" s="91" t="s">
        <v>28</v>
      </c>
      <c r="F38" s="15">
        <v>1692500</v>
      </c>
      <c r="G38" s="15">
        <v>8800</v>
      </c>
      <c r="H38" s="117">
        <f t="shared" si="3"/>
        <v>1683700</v>
      </c>
      <c r="I38" s="121">
        <v>1683700</v>
      </c>
    </row>
    <row r="39" spans="2:9">
      <c r="B39" s="89">
        <v>45170</v>
      </c>
      <c r="C39" s="113">
        <v>45170</v>
      </c>
      <c r="D39" s="113">
        <v>45199</v>
      </c>
      <c r="E39" s="91" t="s">
        <v>27</v>
      </c>
      <c r="F39" s="15">
        <v>1473400</v>
      </c>
      <c r="G39" s="15">
        <v>10500</v>
      </c>
      <c r="H39" s="117">
        <f t="shared" si="3"/>
        <v>1462900</v>
      </c>
      <c r="I39" s="121">
        <v>1462900</v>
      </c>
    </row>
    <row r="40" spans="2:9">
      <c r="B40" s="89">
        <v>45170</v>
      </c>
      <c r="C40" s="113">
        <v>45170</v>
      </c>
      <c r="D40" s="113">
        <v>45199</v>
      </c>
      <c r="E40" s="91" t="s">
        <v>28</v>
      </c>
      <c r="F40" s="15">
        <v>1463300</v>
      </c>
      <c r="G40" s="15">
        <v>9200</v>
      </c>
      <c r="H40" s="117">
        <f t="shared" si="3"/>
        <v>1454100</v>
      </c>
      <c r="I40" s="121">
        <v>1454100</v>
      </c>
    </row>
    <row r="41" spans="2:9">
      <c r="B41" s="89">
        <v>45200</v>
      </c>
      <c r="C41" s="113">
        <v>45200</v>
      </c>
      <c r="D41" s="113">
        <v>45230</v>
      </c>
      <c r="E41" s="91" t="s">
        <v>27</v>
      </c>
      <c r="F41" s="15">
        <v>1584600</v>
      </c>
      <c r="G41" s="15">
        <v>10700</v>
      </c>
      <c r="H41" s="117">
        <f t="shared" si="1"/>
        <v>1573900</v>
      </c>
      <c r="I41" s="121">
        <v>1573900</v>
      </c>
    </row>
    <row r="42" spans="2:9">
      <c r="B42" s="89">
        <v>45200</v>
      </c>
      <c r="C42" s="113">
        <v>45200</v>
      </c>
      <c r="D42" s="113">
        <v>45230</v>
      </c>
      <c r="E42" s="91" t="s">
        <v>28</v>
      </c>
      <c r="F42" s="15">
        <v>1611300</v>
      </c>
      <c r="G42" s="15">
        <v>9200</v>
      </c>
      <c r="H42" s="117">
        <f t="shared" si="1"/>
        <v>1602100</v>
      </c>
      <c r="I42" s="121">
        <v>1602100</v>
      </c>
    </row>
    <row r="43" spans="2:9">
      <c r="B43" s="89">
        <v>45231</v>
      </c>
      <c r="C43" s="113">
        <v>45231</v>
      </c>
      <c r="D43" s="113">
        <v>45260</v>
      </c>
      <c r="E43" s="91" t="s">
        <v>27</v>
      </c>
      <c r="F43" s="15">
        <v>1214400</v>
      </c>
      <c r="G43" s="15">
        <v>11400</v>
      </c>
      <c r="H43" s="117">
        <f>F43-G43</f>
        <v>1203000</v>
      </c>
      <c r="I43" s="121">
        <v>1203000</v>
      </c>
    </row>
    <row r="44" spans="2:9">
      <c r="B44" s="89">
        <v>45231</v>
      </c>
      <c r="C44" s="113">
        <v>45231</v>
      </c>
      <c r="D44" s="113">
        <v>45260</v>
      </c>
      <c r="E44" s="91" t="s">
        <v>28</v>
      </c>
      <c r="F44" s="15">
        <v>1225500</v>
      </c>
      <c r="G44" s="15">
        <v>10000</v>
      </c>
      <c r="H44" s="117">
        <f t="shared" si="1"/>
        <v>1215500</v>
      </c>
      <c r="I44" s="121">
        <v>1215500</v>
      </c>
    </row>
    <row r="45" spans="2:9">
      <c r="B45" s="89">
        <v>45261</v>
      </c>
      <c r="C45" s="113">
        <v>45261</v>
      </c>
      <c r="D45" s="113">
        <v>45291</v>
      </c>
      <c r="E45" s="91" t="s">
        <v>27</v>
      </c>
      <c r="F45" s="15">
        <v>483200</v>
      </c>
      <c r="G45" s="15">
        <v>3700</v>
      </c>
      <c r="H45" s="117">
        <f t="shared" si="1"/>
        <v>479500</v>
      </c>
      <c r="I45" s="121">
        <v>479500</v>
      </c>
    </row>
    <row r="46" spans="2:9">
      <c r="B46" s="89">
        <v>45261</v>
      </c>
      <c r="C46" s="113">
        <v>45261</v>
      </c>
      <c r="D46" s="113">
        <v>45291</v>
      </c>
      <c r="E46" s="91" t="s">
        <v>28</v>
      </c>
      <c r="F46" s="15">
        <v>482500</v>
      </c>
      <c r="G46" s="15">
        <v>3300</v>
      </c>
      <c r="H46" s="117">
        <f t="shared" si="1"/>
        <v>479200</v>
      </c>
      <c r="I46" s="121">
        <v>479200</v>
      </c>
    </row>
    <row r="47" spans="2:9">
      <c r="B47" s="127" t="s">
        <v>10</v>
      </c>
      <c r="C47" s="113"/>
      <c r="D47" s="113"/>
      <c r="E47" s="130"/>
      <c r="F47" s="131"/>
      <c r="G47" s="131"/>
      <c r="H47" s="167">
        <f>SUM(H25:H46)</f>
        <v>30580400</v>
      </c>
      <c r="I47" s="167">
        <f>SUM(I25:I46)</f>
        <v>30580400</v>
      </c>
    </row>
    <row r="48" spans="2:9">
      <c r="B48" s="89">
        <v>45292</v>
      </c>
      <c r="C48" s="113">
        <v>45292</v>
      </c>
      <c r="D48" s="113">
        <v>45322</v>
      </c>
      <c r="E48" s="91" t="s">
        <v>27</v>
      </c>
      <c r="F48" s="15">
        <v>1599900</v>
      </c>
      <c r="G48" s="15">
        <v>0</v>
      </c>
      <c r="H48" s="117">
        <f t="shared" si="1"/>
        <v>1599900</v>
      </c>
      <c r="I48" s="121">
        <v>1599900</v>
      </c>
    </row>
    <row r="49" spans="2:21">
      <c r="B49" s="89">
        <v>45292</v>
      </c>
      <c r="C49" s="113">
        <v>45292</v>
      </c>
      <c r="D49" s="113">
        <v>45322</v>
      </c>
      <c r="E49" s="91" t="s">
        <v>28</v>
      </c>
      <c r="F49" s="15">
        <v>1582300</v>
      </c>
      <c r="G49" s="15">
        <v>0</v>
      </c>
      <c r="H49" s="117">
        <f t="shared" si="1"/>
        <v>1582300</v>
      </c>
      <c r="I49" s="121">
        <v>1582300</v>
      </c>
    </row>
    <row r="50" spans="2:21">
      <c r="B50" s="89">
        <v>45323</v>
      </c>
      <c r="C50" s="113">
        <v>45323</v>
      </c>
      <c r="D50" s="113">
        <v>45351</v>
      </c>
      <c r="E50" s="91" t="s">
        <v>27</v>
      </c>
      <c r="F50" s="15">
        <v>1770800</v>
      </c>
      <c r="G50" s="15">
        <v>0</v>
      </c>
      <c r="H50" s="117">
        <f t="shared" si="1"/>
        <v>1770800</v>
      </c>
      <c r="I50" s="121">
        <v>1770800</v>
      </c>
    </row>
    <row r="51" spans="2:21">
      <c r="B51" s="89">
        <v>45323</v>
      </c>
      <c r="C51" s="113">
        <v>45323</v>
      </c>
      <c r="D51" s="113">
        <v>45351</v>
      </c>
      <c r="E51" s="91" t="s">
        <v>28</v>
      </c>
      <c r="F51" s="15">
        <v>1783300</v>
      </c>
      <c r="G51" s="15">
        <v>0</v>
      </c>
      <c r="H51" s="117">
        <f t="shared" si="1"/>
        <v>1783300</v>
      </c>
      <c r="I51" s="121">
        <v>1783300</v>
      </c>
    </row>
    <row r="52" spans="2:21">
      <c r="B52" s="89">
        <v>45352</v>
      </c>
      <c r="C52" s="113">
        <v>45352</v>
      </c>
      <c r="D52" s="113">
        <v>45382</v>
      </c>
      <c r="E52" s="91" t="s">
        <v>27</v>
      </c>
      <c r="F52" s="87">
        <v>1873300</v>
      </c>
      <c r="G52" s="15">
        <v>10400</v>
      </c>
      <c r="H52" s="117">
        <f t="shared" si="1"/>
        <v>1862900</v>
      </c>
      <c r="I52" s="121">
        <v>1862900</v>
      </c>
    </row>
    <row r="53" spans="2:21">
      <c r="B53" s="89">
        <v>45352</v>
      </c>
      <c r="C53" s="113">
        <v>45352</v>
      </c>
      <c r="D53" s="113">
        <v>45382</v>
      </c>
      <c r="E53" s="91" t="s">
        <v>28</v>
      </c>
      <c r="F53" s="15">
        <v>1868200</v>
      </c>
      <c r="G53" s="15">
        <v>9000</v>
      </c>
      <c r="H53" s="117">
        <f t="shared" si="1"/>
        <v>1859200</v>
      </c>
      <c r="I53" s="121">
        <v>1859200</v>
      </c>
    </row>
    <row r="54" spans="2:21">
      <c r="B54" s="89">
        <v>45383</v>
      </c>
      <c r="C54" s="113">
        <v>45383</v>
      </c>
      <c r="D54" s="113">
        <v>45397</v>
      </c>
      <c r="E54" s="91" t="s">
        <v>27</v>
      </c>
      <c r="F54" s="175">
        <f>1802400*Apportioning!C24</f>
        <v>901200</v>
      </c>
      <c r="G54" s="15">
        <v>0</v>
      </c>
      <c r="H54" s="117">
        <f t="shared" si="1"/>
        <v>901200</v>
      </c>
      <c r="I54" s="121">
        <v>1802400</v>
      </c>
    </row>
    <row r="55" spans="2:21">
      <c r="B55" s="89">
        <v>45383</v>
      </c>
      <c r="C55" s="113">
        <v>45383</v>
      </c>
      <c r="D55" s="113">
        <v>45397</v>
      </c>
      <c r="E55" s="91" t="s">
        <v>28</v>
      </c>
      <c r="F55" s="175">
        <f>1792000*Apportioning!F24</f>
        <v>896000</v>
      </c>
      <c r="G55" s="15">
        <v>0</v>
      </c>
      <c r="H55" s="117">
        <f t="shared" si="1"/>
        <v>896000</v>
      </c>
      <c r="I55" s="121">
        <v>1792000</v>
      </c>
    </row>
    <row r="56" spans="2:21">
      <c r="B56" s="127" t="s">
        <v>10</v>
      </c>
      <c r="C56" s="113"/>
      <c r="D56" s="113"/>
      <c r="E56" s="130"/>
      <c r="F56" s="131"/>
      <c r="G56" s="131"/>
      <c r="H56" s="167">
        <f>SUM(H48:H55)</f>
        <v>12255600</v>
      </c>
      <c r="I56" s="167">
        <f>SUM(I48:I55)</f>
        <v>14052800</v>
      </c>
    </row>
    <row r="57" spans="2:21" ht="18">
      <c r="B57" s="110" t="s">
        <v>106</v>
      </c>
      <c r="C57" s="110"/>
      <c r="D57" s="110"/>
      <c r="E57" s="119"/>
      <c r="F57" s="119"/>
      <c r="G57" s="119"/>
      <c r="H57" s="119"/>
    </row>
    <row r="58" spans="2:21" s="35" customFormat="1" ht="28.8">
      <c r="B58" s="122" t="s">
        <v>51</v>
      </c>
      <c r="C58" s="120" t="s">
        <v>111</v>
      </c>
      <c r="D58" s="120" t="s">
        <v>112</v>
      </c>
      <c r="E58" s="122" t="s">
        <v>26</v>
      </c>
      <c r="F58" s="122" t="s">
        <v>82</v>
      </c>
      <c r="G58" s="122" t="s">
        <v>83</v>
      </c>
      <c r="H58" s="122" t="s">
        <v>84</v>
      </c>
      <c r="I58" s="120" t="s">
        <v>81</v>
      </c>
      <c r="J58" s="64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</row>
    <row r="59" spans="2:21" s="35" customFormat="1">
      <c r="B59" s="89">
        <v>44958</v>
      </c>
      <c r="C59" s="113">
        <v>44958</v>
      </c>
      <c r="D59" s="113">
        <v>44985</v>
      </c>
      <c r="E59" s="123" t="s">
        <v>78</v>
      </c>
      <c r="F59" s="131">
        <v>1675500</v>
      </c>
      <c r="G59" s="131">
        <v>4700</v>
      </c>
      <c r="H59" s="132">
        <f t="shared" ref="H59:H76" si="4">F59-G59</f>
        <v>1670800</v>
      </c>
      <c r="I59" s="134">
        <v>1670800</v>
      </c>
      <c r="J59" s="64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</row>
    <row r="60" spans="2:21" s="35" customFormat="1">
      <c r="B60" s="89">
        <v>44958</v>
      </c>
      <c r="C60" s="113">
        <v>44958</v>
      </c>
      <c r="D60" s="113">
        <v>44985</v>
      </c>
      <c r="E60" s="123" t="s">
        <v>79</v>
      </c>
      <c r="F60" s="131">
        <v>1732200</v>
      </c>
      <c r="G60" s="131">
        <v>6900</v>
      </c>
      <c r="H60" s="132">
        <f t="shared" si="4"/>
        <v>1725300</v>
      </c>
      <c r="I60" s="134">
        <v>1725300</v>
      </c>
      <c r="J60" s="64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</row>
    <row r="61" spans="2:21" s="35" customFormat="1">
      <c r="B61" s="89">
        <v>44986</v>
      </c>
      <c r="C61" s="113">
        <v>44986</v>
      </c>
      <c r="D61" s="113">
        <v>45016</v>
      </c>
      <c r="E61" s="123" t="s">
        <v>78</v>
      </c>
      <c r="F61" s="131">
        <v>1615100</v>
      </c>
      <c r="G61" s="131">
        <v>4700</v>
      </c>
      <c r="H61" s="132">
        <f t="shared" si="4"/>
        <v>1610400</v>
      </c>
      <c r="I61" s="134">
        <v>1610400</v>
      </c>
      <c r="J61" s="64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</row>
    <row r="62" spans="2:21" s="35" customFormat="1">
      <c r="B62" s="89">
        <v>44986</v>
      </c>
      <c r="C62" s="113">
        <v>44986</v>
      </c>
      <c r="D62" s="113">
        <v>45016</v>
      </c>
      <c r="E62" s="123" t="s">
        <v>79</v>
      </c>
      <c r="F62" s="131">
        <v>1557300</v>
      </c>
      <c r="G62" s="131">
        <v>6400</v>
      </c>
      <c r="H62" s="132">
        <f t="shared" si="4"/>
        <v>1550900</v>
      </c>
      <c r="I62" s="134">
        <v>1550900</v>
      </c>
      <c r="J62" s="64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</row>
    <row r="63" spans="2:21" s="35" customFormat="1">
      <c r="B63" s="89">
        <v>45017</v>
      </c>
      <c r="C63" s="113">
        <v>45017</v>
      </c>
      <c r="D63" s="113">
        <v>45028</v>
      </c>
      <c r="E63" s="92" t="s">
        <v>78</v>
      </c>
      <c r="F63" s="131">
        <v>592400</v>
      </c>
      <c r="G63" s="131">
        <v>1600</v>
      </c>
      <c r="H63" s="132">
        <f t="shared" si="4"/>
        <v>590800</v>
      </c>
      <c r="I63" s="134">
        <v>590800</v>
      </c>
      <c r="J63" s="64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</row>
    <row r="64" spans="2:21" s="35" customFormat="1">
      <c r="B64" s="89">
        <v>45017</v>
      </c>
      <c r="C64" s="113">
        <v>45017</v>
      </c>
      <c r="D64" s="113">
        <v>45028</v>
      </c>
      <c r="E64" s="92" t="s">
        <v>79</v>
      </c>
      <c r="F64" s="131">
        <v>588100</v>
      </c>
      <c r="G64" s="131">
        <v>2300</v>
      </c>
      <c r="H64" s="132">
        <f t="shared" si="4"/>
        <v>585800</v>
      </c>
      <c r="I64" s="134">
        <v>585800</v>
      </c>
      <c r="J64" s="64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</row>
    <row r="65" spans="2:21" s="35" customFormat="1">
      <c r="B65" s="89">
        <v>45017</v>
      </c>
      <c r="C65" s="113">
        <v>45028</v>
      </c>
      <c r="D65" s="113">
        <v>45046</v>
      </c>
      <c r="E65" s="92" t="s">
        <v>78</v>
      </c>
      <c r="F65" s="131">
        <v>1130000</v>
      </c>
      <c r="G65" s="131">
        <v>3400</v>
      </c>
      <c r="H65" s="132">
        <f t="shared" ref="H65:H66" si="5">F65-G65</f>
        <v>1126600</v>
      </c>
      <c r="I65" s="134">
        <v>1126600</v>
      </c>
      <c r="J65" s="64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</row>
    <row r="66" spans="2:21" s="35" customFormat="1">
      <c r="B66" s="89">
        <v>45017</v>
      </c>
      <c r="C66" s="113">
        <v>45028</v>
      </c>
      <c r="D66" s="113">
        <v>45046</v>
      </c>
      <c r="E66" s="92" t="s">
        <v>79</v>
      </c>
      <c r="F66" s="131">
        <v>1106300</v>
      </c>
      <c r="G66" s="131">
        <v>4600</v>
      </c>
      <c r="H66" s="132">
        <f t="shared" si="5"/>
        <v>1101700</v>
      </c>
      <c r="I66" s="134">
        <v>1101700</v>
      </c>
      <c r="J66" s="64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</row>
    <row r="67" spans="2:21" s="35" customFormat="1">
      <c r="B67" s="89">
        <v>45047</v>
      </c>
      <c r="C67" s="113">
        <v>45047</v>
      </c>
      <c r="D67" s="113">
        <v>45077</v>
      </c>
      <c r="E67" s="92" t="s">
        <v>78</v>
      </c>
      <c r="F67" s="131">
        <v>1752900</v>
      </c>
      <c r="G67" s="131">
        <v>6400</v>
      </c>
      <c r="H67" s="132">
        <f t="shared" si="4"/>
        <v>1746500</v>
      </c>
      <c r="I67" s="134">
        <v>1746500</v>
      </c>
      <c r="J67" s="64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</row>
    <row r="68" spans="2:21" s="35" customFormat="1">
      <c r="B68" s="89">
        <v>45047</v>
      </c>
      <c r="C68" s="113">
        <v>45047</v>
      </c>
      <c r="D68" s="113">
        <v>45077</v>
      </c>
      <c r="E68" s="92" t="s">
        <v>79</v>
      </c>
      <c r="F68" s="131">
        <v>1742100</v>
      </c>
      <c r="G68" s="131">
        <v>8200</v>
      </c>
      <c r="H68" s="132">
        <f t="shared" si="4"/>
        <v>1733900</v>
      </c>
      <c r="I68" s="134">
        <v>1733900</v>
      </c>
      <c r="J68" s="64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</row>
    <row r="69" spans="2:21" s="35" customFormat="1">
      <c r="B69" s="89">
        <v>45078</v>
      </c>
      <c r="C69" s="113">
        <v>45078</v>
      </c>
      <c r="D69" s="113">
        <v>45107</v>
      </c>
      <c r="E69" s="92" t="s">
        <v>78</v>
      </c>
      <c r="F69" s="131">
        <v>1547500</v>
      </c>
      <c r="G69" s="131">
        <v>6400</v>
      </c>
      <c r="H69" s="132">
        <f t="shared" si="4"/>
        <v>1541100</v>
      </c>
      <c r="I69" s="134">
        <v>1541100</v>
      </c>
      <c r="J69" s="64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</row>
    <row r="70" spans="2:21" s="35" customFormat="1">
      <c r="B70" s="89">
        <v>45078</v>
      </c>
      <c r="C70" s="113">
        <v>45078</v>
      </c>
      <c r="D70" s="113">
        <v>45107</v>
      </c>
      <c r="E70" s="92" t="s">
        <v>79</v>
      </c>
      <c r="F70" s="131">
        <v>1537000</v>
      </c>
      <c r="G70" s="131">
        <v>8100</v>
      </c>
      <c r="H70" s="132">
        <f t="shared" si="4"/>
        <v>1528900</v>
      </c>
      <c r="I70" s="134">
        <v>1528900</v>
      </c>
      <c r="J70" s="64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</row>
    <row r="71" spans="2:21" s="35" customFormat="1">
      <c r="B71" s="89">
        <v>45108</v>
      </c>
      <c r="C71" s="113">
        <v>45108</v>
      </c>
      <c r="D71" s="113">
        <v>45138</v>
      </c>
      <c r="E71" s="92" t="s">
        <v>78</v>
      </c>
      <c r="F71" s="131">
        <v>1195500</v>
      </c>
      <c r="G71" s="131">
        <v>6600</v>
      </c>
      <c r="H71" s="132">
        <f t="shared" si="4"/>
        <v>1188900</v>
      </c>
      <c r="I71" s="134">
        <v>1188900</v>
      </c>
      <c r="J71" s="64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</row>
    <row r="72" spans="2:21" s="35" customFormat="1">
      <c r="B72" s="89">
        <v>45108</v>
      </c>
      <c r="C72" s="113">
        <v>45108</v>
      </c>
      <c r="D72" s="113">
        <v>45138</v>
      </c>
      <c r="E72" s="92" t="s">
        <v>79</v>
      </c>
      <c r="F72" s="131">
        <v>1206100</v>
      </c>
      <c r="G72" s="131">
        <v>8200</v>
      </c>
      <c r="H72" s="132">
        <f t="shared" si="4"/>
        <v>1197900</v>
      </c>
      <c r="I72" s="134">
        <v>1197900</v>
      </c>
      <c r="J72" s="64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</row>
    <row r="73" spans="2:21" s="35" customFormat="1">
      <c r="B73" s="89">
        <v>45139</v>
      </c>
      <c r="C73" s="113">
        <v>45139</v>
      </c>
      <c r="D73" s="113">
        <v>45169</v>
      </c>
      <c r="E73" s="92" t="s">
        <v>78</v>
      </c>
      <c r="F73" s="131">
        <v>1557300</v>
      </c>
      <c r="G73" s="131">
        <v>6500</v>
      </c>
      <c r="H73" s="132">
        <f t="shared" si="4"/>
        <v>1550800</v>
      </c>
      <c r="I73" s="134">
        <v>1550800</v>
      </c>
      <c r="J73" s="64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</row>
    <row r="74" spans="2:21" s="35" customFormat="1">
      <c r="B74" s="89">
        <v>45139</v>
      </c>
      <c r="C74" s="113">
        <v>45139</v>
      </c>
      <c r="D74" s="113">
        <v>45169</v>
      </c>
      <c r="E74" s="92" t="s">
        <v>79</v>
      </c>
      <c r="F74" s="131">
        <v>1543600</v>
      </c>
      <c r="G74" s="131">
        <v>8800</v>
      </c>
      <c r="H74" s="132">
        <f t="shared" si="4"/>
        <v>1534800</v>
      </c>
      <c r="I74" s="134">
        <v>1534800</v>
      </c>
      <c r="J74" s="64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</row>
    <row r="75" spans="2:21" s="35" customFormat="1">
      <c r="B75" s="89">
        <v>45170</v>
      </c>
      <c r="C75" s="113">
        <v>45170</v>
      </c>
      <c r="D75" s="113">
        <v>45199</v>
      </c>
      <c r="E75" s="92" t="s">
        <v>78</v>
      </c>
      <c r="F75" s="131">
        <v>1319500</v>
      </c>
      <c r="G75" s="131">
        <v>6900</v>
      </c>
      <c r="H75" s="132">
        <f t="shared" si="4"/>
        <v>1312600</v>
      </c>
      <c r="I75" s="134">
        <v>1312600</v>
      </c>
      <c r="J75" s="64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</row>
    <row r="76" spans="2:21" s="35" customFormat="1">
      <c r="B76" s="89">
        <v>45170</v>
      </c>
      <c r="C76" s="113">
        <v>45170</v>
      </c>
      <c r="D76" s="113">
        <v>45199</v>
      </c>
      <c r="E76" s="92" t="s">
        <v>79</v>
      </c>
      <c r="F76" s="131">
        <v>1271100</v>
      </c>
      <c r="G76" s="131">
        <v>9000</v>
      </c>
      <c r="H76" s="132">
        <f t="shared" si="4"/>
        <v>1262100</v>
      </c>
      <c r="I76" s="134">
        <v>1262100</v>
      </c>
      <c r="J76" s="64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</row>
    <row r="77" spans="2:21">
      <c r="B77" s="89">
        <v>45200</v>
      </c>
      <c r="C77" s="113">
        <v>45200</v>
      </c>
      <c r="D77" s="113">
        <v>45230</v>
      </c>
      <c r="E77" s="92" t="s">
        <v>78</v>
      </c>
      <c r="F77" s="15">
        <v>1644800</v>
      </c>
      <c r="G77" s="15">
        <v>6400</v>
      </c>
      <c r="H77" s="93">
        <f>F77-G77</f>
        <v>1638400</v>
      </c>
      <c r="I77" s="93">
        <v>1638400</v>
      </c>
    </row>
    <row r="78" spans="2:21">
      <c r="B78" s="89">
        <v>45200</v>
      </c>
      <c r="C78" s="113">
        <v>45200</v>
      </c>
      <c r="D78" s="113">
        <v>45230</v>
      </c>
      <c r="E78" s="92" t="s">
        <v>79</v>
      </c>
      <c r="F78" s="15">
        <v>1529000</v>
      </c>
      <c r="G78" s="15">
        <v>8400</v>
      </c>
      <c r="H78" s="93">
        <f t="shared" ref="H78:H91" si="6">F78-G78</f>
        <v>1520600</v>
      </c>
      <c r="I78" s="93">
        <v>1520600</v>
      </c>
    </row>
    <row r="79" spans="2:21">
      <c r="B79" s="89">
        <v>45231</v>
      </c>
      <c r="C79" s="113">
        <v>45231</v>
      </c>
      <c r="D79" s="113">
        <v>45260</v>
      </c>
      <c r="E79" s="92" t="s">
        <v>78</v>
      </c>
      <c r="F79" s="15">
        <v>1216700</v>
      </c>
      <c r="G79" s="15">
        <v>7700</v>
      </c>
      <c r="H79" s="93">
        <f t="shared" si="6"/>
        <v>1209000</v>
      </c>
      <c r="I79" s="93">
        <v>1209000</v>
      </c>
    </row>
    <row r="80" spans="2:21">
      <c r="B80" s="89">
        <v>45231</v>
      </c>
      <c r="C80" s="113">
        <v>45231</v>
      </c>
      <c r="D80" s="113">
        <v>45260</v>
      </c>
      <c r="E80" s="92" t="s">
        <v>79</v>
      </c>
      <c r="F80" s="15">
        <v>1115800</v>
      </c>
      <c r="G80" s="15">
        <v>9600</v>
      </c>
      <c r="H80" s="93">
        <f t="shared" si="6"/>
        <v>1106200</v>
      </c>
      <c r="I80" s="93">
        <v>1106200</v>
      </c>
    </row>
    <row r="81" spans="2:21">
      <c r="B81" s="89">
        <v>45261</v>
      </c>
      <c r="C81" s="113">
        <v>45261</v>
      </c>
      <c r="D81" s="113">
        <v>45291</v>
      </c>
      <c r="E81" s="92" t="s">
        <v>78</v>
      </c>
      <c r="F81" s="15">
        <v>1165700</v>
      </c>
      <c r="G81" s="15">
        <v>7900</v>
      </c>
      <c r="H81" s="93">
        <f t="shared" si="6"/>
        <v>1157800</v>
      </c>
      <c r="I81" s="93">
        <v>1157800</v>
      </c>
    </row>
    <row r="82" spans="2:21">
      <c r="B82" s="89">
        <v>45261</v>
      </c>
      <c r="C82" s="113">
        <v>45261</v>
      </c>
      <c r="D82" s="113">
        <v>45291</v>
      </c>
      <c r="E82" s="92" t="s">
        <v>79</v>
      </c>
      <c r="F82" s="15">
        <v>1152000</v>
      </c>
      <c r="G82" s="15">
        <v>9900</v>
      </c>
      <c r="H82" s="93">
        <f t="shared" si="6"/>
        <v>1142100</v>
      </c>
      <c r="I82" s="93">
        <v>1142100</v>
      </c>
    </row>
    <row r="83" spans="2:21">
      <c r="B83" s="127" t="s">
        <v>10</v>
      </c>
      <c r="C83" s="89"/>
      <c r="D83" s="89"/>
      <c r="E83" s="133"/>
      <c r="F83" s="15"/>
      <c r="G83" s="15"/>
      <c r="H83" s="167">
        <f>SUM(H59:H82)</f>
        <v>32333900</v>
      </c>
      <c r="I83" s="167">
        <f>SUM(I59:I82)</f>
        <v>32333900</v>
      </c>
    </row>
    <row r="84" spans="2:21">
      <c r="B84" s="89">
        <v>45292</v>
      </c>
      <c r="C84" s="113">
        <v>45292</v>
      </c>
      <c r="D84" s="113">
        <v>45322</v>
      </c>
      <c r="E84" s="92" t="s">
        <v>78</v>
      </c>
      <c r="F84" s="15">
        <v>1292400</v>
      </c>
      <c r="G84" s="15">
        <v>7600</v>
      </c>
      <c r="H84" s="93">
        <f t="shared" si="6"/>
        <v>1284800</v>
      </c>
      <c r="I84" s="117">
        <v>1284800</v>
      </c>
    </row>
    <row r="85" spans="2:21">
      <c r="B85" s="89">
        <v>45292</v>
      </c>
      <c r="C85" s="113">
        <v>45292</v>
      </c>
      <c r="D85" s="113">
        <v>45322</v>
      </c>
      <c r="E85" s="92" t="s">
        <v>79</v>
      </c>
      <c r="F85" s="15">
        <v>1271900</v>
      </c>
      <c r="G85" s="15">
        <v>9500</v>
      </c>
      <c r="H85" s="93">
        <f t="shared" si="6"/>
        <v>1262400</v>
      </c>
      <c r="I85" s="117">
        <v>1262400</v>
      </c>
    </row>
    <row r="86" spans="2:21">
      <c r="B86" s="89">
        <v>45323</v>
      </c>
      <c r="C86" s="113">
        <v>45323</v>
      </c>
      <c r="D86" s="113">
        <v>45351</v>
      </c>
      <c r="E86" s="92" t="s">
        <v>78</v>
      </c>
      <c r="F86" s="15">
        <v>1436000</v>
      </c>
      <c r="G86" s="15">
        <v>6900</v>
      </c>
      <c r="H86" s="93">
        <f t="shared" si="6"/>
        <v>1429100</v>
      </c>
      <c r="I86" s="117">
        <v>1429100</v>
      </c>
    </row>
    <row r="87" spans="2:21">
      <c r="B87" s="89">
        <v>45323</v>
      </c>
      <c r="C87" s="113">
        <v>45323</v>
      </c>
      <c r="D87" s="113">
        <v>45351</v>
      </c>
      <c r="E87" s="92" t="s">
        <v>79</v>
      </c>
      <c r="F87" s="87">
        <v>1433500</v>
      </c>
      <c r="G87" s="15">
        <v>8600</v>
      </c>
      <c r="H87" s="93">
        <f t="shared" si="6"/>
        <v>1424900</v>
      </c>
      <c r="I87" s="117">
        <v>1424900</v>
      </c>
    </row>
    <row r="88" spans="2:21">
      <c r="B88" s="89">
        <v>45352</v>
      </c>
      <c r="C88" s="113">
        <v>45352</v>
      </c>
      <c r="D88" s="113">
        <v>45382</v>
      </c>
      <c r="E88" s="92" t="s">
        <v>78</v>
      </c>
      <c r="F88" s="15">
        <v>1312800</v>
      </c>
      <c r="G88" s="15">
        <v>6300</v>
      </c>
      <c r="H88" s="93">
        <f t="shared" si="6"/>
        <v>1306500</v>
      </c>
      <c r="I88" s="117">
        <v>1306500</v>
      </c>
    </row>
    <row r="89" spans="2:21">
      <c r="B89" s="89">
        <v>45352</v>
      </c>
      <c r="C89" s="113">
        <v>45352</v>
      </c>
      <c r="D89" s="113">
        <v>45382</v>
      </c>
      <c r="E89" s="92" t="s">
        <v>79</v>
      </c>
      <c r="F89" s="15">
        <v>1283700</v>
      </c>
      <c r="G89" s="15">
        <v>8300</v>
      </c>
      <c r="H89" s="93">
        <f t="shared" si="6"/>
        <v>1275400</v>
      </c>
      <c r="I89" s="117">
        <v>1275400</v>
      </c>
    </row>
    <row r="90" spans="2:21">
      <c r="B90" s="89">
        <v>45383</v>
      </c>
      <c r="C90" s="113">
        <v>45383</v>
      </c>
      <c r="D90" s="113">
        <v>45397</v>
      </c>
      <c r="E90" s="92" t="s">
        <v>78</v>
      </c>
      <c r="F90" s="175">
        <f>1415200*Apportioning!C29</f>
        <v>707600</v>
      </c>
      <c r="G90" s="15">
        <v>6600</v>
      </c>
      <c r="H90" s="93">
        <f t="shared" si="6"/>
        <v>701000</v>
      </c>
      <c r="I90" s="117">
        <v>1408600</v>
      </c>
    </row>
    <row r="91" spans="2:21">
      <c r="B91" s="89">
        <v>45383</v>
      </c>
      <c r="C91" s="113">
        <v>45383</v>
      </c>
      <c r="D91" s="113">
        <v>45397</v>
      </c>
      <c r="E91" s="92" t="s">
        <v>79</v>
      </c>
      <c r="F91" s="175">
        <f>1406400*Apportioning!F29</f>
        <v>703200</v>
      </c>
      <c r="G91" s="15">
        <v>9200</v>
      </c>
      <c r="H91" s="93">
        <f t="shared" si="6"/>
        <v>694000</v>
      </c>
      <c r="I91" s="117">
        <v>1397200</v>
      </c>
    </row>
    <row r="92" spans="2:21">
      <c r="B92" s="127" t="s">
        <v>10</v>
      </c>
      <c r="C92" s="89"/>
      <c r="D92" s="89"/>
      <c r="E92" s="133"/>
      <c r="F92" s="15"/>
      <c r="G92" s="15"/>
      <c r="H92" s="167">
        <f>SUM(H84:H91)</f>
        <v>9378100</v>
      </c>
      <c r="I92" s="167">
        <f>SUM(I84:I91)</f>
        <v>10788900</v>
      </c>
    </row>
    <row r="93" spans="2:21" ht="18">
      <c r="B93" s="110" t="s">
        <v>32</v>
      </c>
      <c r="C93" s="110"/>
      <c r="D93" s="110"/>
      <c r="E93" s="118"/>
      <c r="H93" s="64" t="s">
        <v>85</v>
      </c>
    </row>
    <row r="94" spans="2:21" s="35" customFormat="1" ht="28.8">
      <c r="B94" s="109" t="s">
        <v>51</v>
      </c>
      <c r="C94" s="109" t="s">
        <v>111</v>
      </c>
      <c r="D94" s="109" t="s">
        <v>112</v>
      </c>
      <c r="E94" s="109" t="s">
        <v>82</v>
      </c>
      <c r="F94" s="109" t="s">
        <v>83</v>
      </c>
      <c r="G94" s="109" t="s">
        <v>84</v>
      </c>
      <c r="H94" s="109" t="s">
        <v>81</v>
      </c>
      <c r="J94" s="64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</row>
    <row r="95" spans="2:21">
      <c r="B95" s="91">
        <f>B3</f>
        <v>44958</v>
      </c>
      <c r="C95" s="113">
        <v>44958</v>
      </c>
      <c r="D95" s="113">
        <v>44985</v>
      </c>
      <c r="E95" s="15">
        <v>7063000</v>
      </c>
      <c r="F95" s="15">
        <v>38000</v>
      </c>
      <c r="G95" s="124">
        <f>E95-F95</f>
        <v>7025000</v>
      </c>
      <c r="H95" s="94">
        <v>7025000</v>
      </c>
    </row>
    <row r="96" spans="2:21">
      <c r="B96" s="89">
        <f>B4</f>
        <v>44986</v>
      </c>
      <c r="C96" s="113">
        <v>44986</v>
      </c>
      <c r="D96" s="113">
        <v>45016</v>
      </c>
      <c r="E96" s="15">
        <v>7389000</v>
      </c>
      <c r="F96" s="15">
        <v>41000</v>
      </c>
      <c r="G96" s="124">
        <f t="shared" ref="G96:G100" si="7">E96-F96</f>
        <v>7348000</v>
      </c>
      <c r="H96" s="94">
        <v>7348000</v>
      </c>
    </row>
    <row r="97" spans="2:8">
      <c r="B97" s="89">
        <f t="shared" ref="B97:B103" si="8">B6</f>
        <v>45017</v>
      </c>
      <c r="C97" s="113">
        <v>45017</v>
      </c>
      <c r="D97" s="113">
        <v>45046</v>
      </c>
      <c r="E97" s="15">
        <v>6835000</v>
      </c>
      <c r="F97" s="15">
        <v>38000</v>
      </c>
      <c r="G97" s="124">
        <f t="shared" si="7"/>
        <v>6797000</v>
      </c>
      <c r="H97" s="94">
        <v>6797000</v>
      </c>
    </row>
    <row r="98" spans="2:8">
      <c r="B98" s="89">
        <f t="shared" si="8"/>
        <v>45047</v>
      </c>
      <c r="C98" s="113">
        <v>45047</v>
      </c>
      <c r="D98" s="113">
        <v>45077</v>
      </c>
      <c r="E98" s="15">
        <v>6801000</v>
      </c>
      <c r="F98" s="15">
        <v>37000</v>
      </c>
      <c r="G98" s="124">
        <f t="shared" si="7"/>
        <v>6764000</v>
      </c>
      <c r="H98" s="94">
        <v>6764000</v>
      </c>
    </row>
    <row r="99" spans="2:8">
      <c r="B99" s="89">
        <f t="shared" si="8"/>
        <v>45078</v>
      </c>
      <c r="C99" s="113">
        <v>45078</v>
      </c>
      <c r="D99" s="113">
        <v>45107</v>
      </c>
      <c r="E99" s="15">
        <v>6317000</v>
      </c>
      <c r="F99" s="15">
        <v>38000</v>
      </c>
      <c r="G99" s="124">
        <f t="shared" si="7"/>
        <v>6279000</v>
      </c>
      <c r="H99" s="94">
        <v>6279000</v>
      </c>
    </row>
    <row r="100" spans="2:8">
      <c r="B100" s="89">
        <f t="shared" si="8"/>
        <v>45108</v>
      </c>
      <c r="C100" s="113">
        <v>45108</v>
      </c>
      <c r="D100" s="113">
        <v>45138</v>
      </c>
      <c r="E100" s="15">
        <v>5520000</v>
      </c>
      <c r="F100" s="15">
        <v>39000</v>
      </c>
      <c r="G100" s="124">
        <f t="shared" si="7"/>
        <v>5481000</v>
      </c>
      <c r="H100" s="94">
        <v>5481000</v>
      </c>
    </row>
    <row r="101" spans="2:8">
      <c r="B101" s="89">
        <f t="shared" si="8"/>
        <v>45139</v>
      </c>
      <c r="C101" s="113">
        <v>45139</v>
      </c>
      <c r="D101" s="113">
        <v>45169</v>
      </c>
      <c r="E101" s="15">
        <v>6598000</v>
      </c>
      <c r="F101" s="15">
        <v>38000</v>
      </c>
      <c r="G101" s="124">
        <f>E101-F101</f>
        <v>6560000</v>
      </c>
      <c r="H101" s="94">
        <v>6560000</v>
      </c>
    </row>
    <row r="102" spans="2:8">
      <c r="B102" s="89">
        <f t="shared" si="8"/>
        <v>45170</v>
      </c>
      <c r="C102" s="113">
        <v>45170</v>
      </c>
      <c r="D102" s="113">
        <v>45199</v>
      </c>
      <c r="E102" s="15">
        <v>5802000</v>
      </c>
      <c r="F102" s="15">
        <v>40000</v>
      </c>
      <c r="G102" s="124">
        <f t="shared" ref="G102:G110" si="9">E102-F102</f>
        <v>5762000</v>
      </c>
      <c r="H102" s="94">
        <v>5762000</v>
      </c>
    </row>
    <row r="103" spans="2:8">
      <c r="B103" s="89">
        <f t="shared" si="8"/>
        <v>45200</v>
      </c>
      <c r="C103" s="113">
        <v>45200</v>
      </c>
      <c r="D103" s="113">
        <v>45230</v>
      </c>
      <c r="E103" s="15">
        <v>6200000</v>
      </c>
      <c r="F103" s="15">
        <v>43000</v>
      </c>
      <c r="G103" s="124">
        <f t="shared" si="9"/>
        <v>6157000</v>
      </c>
      <c r="H103" s="94">
        <v>6157000</v>
      </c>
    </row>
    <row r="104" spans="2:8">
      <c r="B104" s="89">
        <f>B14</f>
        <v>45231</v>
      </c>
      <c r="C104" s="113">
        <v>45231</v>
      </c>
      <c r="D104" s="113">
        <v>45260</v>
      </c>
      <c r="E104" s="15">
        <v>4891000</v>
      </c>
      <c r="F104" s="15">
        <v>41000</v>
      </c>
      <c r="G104" s="124">
        <f t="shared" si="9"/>
        <v>4850000</v>
      </c>
      <c r="H104" s="94">
        <v>4850000</v>
      </c>
    </row>
    <row r="105" spans="2:8">
      <c r="B105" s="89">
        <f>B15</f>
        <v>45261</v>
      </c>
      <c r="C105" s="113">
        <v>45261</v>
      </c>
      <c r="D105" s="113">
        <v>45291</v>
      </c>
      <c r="E105" s="15">
        <v>4520000</v>
      </c>
      <c r="F105" s="15">
        <v>41000</v>
      </c>
      <c r="G105" s="124">
        <f t="shared" si="9"/>
        <v>4479000</v>
      </c>
      <c r="H105" s="94">
        <v>4479000</v>
      </c>
    </row>
    <row r="106" spans="2:8">
      <c r="B106" s="127" t="s">
        <v>10</v>
      </c>
      <c r="C106" s="112"/>
      <c r="D106" s="112"/>
      <c r="E106" s="15"/>
      <c r="F106" s="15"/>
      <c r="G106" s="167">
        <f>SUM(G95:G105)</f>
        <v>67502000</v>
      </c>
      <c r="H106" s="167">
        <f>SUM(H95:H105)</f>
        <v>67502000</v>
      </c>
    </row>
    <row r="107" spans="2:8">
      <c r="B107" s="89">
        <f>B17</f>
        <v>45292</v>
      </c>
      <c r="C107" s="113">
        <v>45292</v>
      </c>
      <c r="D107" s="113">
        <v>45322</v>
      </c>
      <c r="E107" s="15">
        <v>6289000</v>
      </c>
      <c r="F107" s="15">
        <v>43000</v>
      </c>
      <c r="G107" s="124">
        <f t="shared" si="9"/>
        <v>6246000</v>
      </c>
      <c r="H107" s="94">
        <v>6246000</v>
      </c>
    </row>
    <row r="108" spans="2:8">
      <c r="B108" s="89">
        <f>B18</f>
        <v>45323</v>
      </c>
      <c r="C108" s="113">
        <v>45323</v>
      </c>
      <c r="D108" s="113">
        <v>45351</v>
      </c>
      <c r="E108" s="15">
        <v>6816000</v>
      </c>
      <c r="F108" s="15">
        <v>40000</v>
      </c>
      <c r="G108" s="124">
        <f t="shared" si="9"/>
        <v>6776000</v>
      </c>
      <c r="H108" s="94">
        <v>6776000</v>
      </c>
    </row>
    <row r="109" spans="2:8">
      <c r="B109" s="89">
        <f>B19</f>
        <v>45352</v>
      </c>
      <c r="C109" s="113">
        <v>45352</v>
      </c>
      <c r="D109" s="113">
        <v>45382</v>
      </c>
      <c r="E109" s="15">
        <v>7707000</v>
      </c>
      <c r="F109" s="15">
        <v>42000</v>
      </c>
      <c r="G109" s="124">
        <f t="shared" si="9"/>
        <v>7665000</v>
      </c>
      <c r="H109" s="94">
        <v>7665000</v>
      </c>
    </row>
    <row r="110" spans="2:8">
      <c r="B110" s="89">
        <f>B21</f>
        <v>45383</v>
      </c>
      <c r="C110" s="113">
        <v>45383</v>
      </c>
      <c r="D110" s="113">
        <v>45397</v>
      </c>
      <c r="E110" s="175">
        <f>7446000*Apportioning!C34</f>
        <v>3723000</v>
      </c>
      <c r="F110" s="15">
        <v>37000</v>
      </c>
      <c r="G110" s="124">
        <f t="shared" si="9"/>
        <v>3686000</v>
      </c>
      <c r="H110" s="94">
        <v>7409000</v>
      </c>
    </row>
    <row r="111" spans="2:8">
      <c r="B111" s="127" t="s">
        <v>10</v>
      </c>
      <c r="C111" s="111"/>
      <c r="D111" s="111"/>
      <c r="E111" s="111"/>
      <c r="F111" s="111"/>
      <c r="G111" s="128">
        <f>SUM(G107:G110)</f>
        <v>24373000</v>
      </c>
      <c r="H111" s="128">
        <f>SUM(H107:H110)</f>
        <v>28096000</v>
      </c>
    </row>
    <row r="112" spans="2:8" ht="18">
      <c r="B112" s="110" t="s">
        <v>31</v>
      </c>
      <c r="C112" s="110"/>
      <c r="D112" s="110"/>
      <c r="E112" s="118"/>
    </row>
    <row r="113" spans="2:21" s="35" customFormat="1" ht="28.8">
      <c r="B113" s="109" t="s">
        <v>51</v>
      </c>
      <c r="C113" s="109" t="s">
        <v>111</v>
      </c>
      <c r="D113" s="109" t="s">
        <v>112</v>
      </c>
      <c r="E113" s="109" t="s">
        <v>82</v>
      </c>
      <c r="F113" s="109" t="s">
        <v>83</v>
      </c>
      <c r="G113" s="109" t="s">
        <v>84</v>
      </c>
      <c r="H113" s="109" t="s">
        <v>81</v>
      </c>
      <c r="I113" s="125"/>
      <c r="J113" s="64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</row>
    <row r="114" spans="2:21">
      <c r="B114" s="89">
        <f t="shared" ref="B114:B116" si="10">B95</f>
        <v>44958</v>
      </c>
      <c r="C114" s="113">
        <v>44958</v>
      </c>
      <c r="D114" s="113">
        <v>44985</v>
      </c>
      <c r="E114" s="15">
        <v>5166200</v>
      </c>
      <c r="F114" s="15">
        <v>24200</v>
      </c>
      <c r="G114" s="21">
        <f>E114-F114</f>
        <v>5142000</v>
      </c>
      <c r="H114" s="94">
        <v>5142000</v>
      </c>
    </row>
    <row r="115" spans="2:21">
      <c r="B115" s="89">
        <f t="shared" si="10"/>
        <v>44986</v>
      </c>
      <c r="C115" s="113">
        <v>44986</v>
      </c>
      <c r="D115" s="113">
        <v>45016</v>
      </c>
      <c r="E115" s="15">
        <v>5336900</v>
      </c>
      <c r="F115" s="15">
        <v>27300</v>
      </c>
      <c r="G115" s="21">
        <f t="shared" ref="G115:G132" si="11">E115-F115</f>
        <v>5309600</v>
      </c>
      <c r="H115" s="94">
        <v>5309600</v>
      </c>
    </row>
    <row r="116" spans="2:21">
      <c r="B116" s="89">
        <f t="shared" si="10"/>
        <v>45017</v>
      </c>
      <c r="C116" s="113">
        <v>45017</v>
      </c>
      <c r="D116" s="113">
        <v>45028</v>
      </c>
      <c r="E116" s="15">
        <v>2193400</v>
      </c>
      <c r="F116" s="15">
        <v>9800</v>
      </c>
      <c r="G116" s="21">
        <f t="shared" si="11"/>
        <v>2183600</v>
      </c>
      <c r="H116" s="94">
        <v>2183600</v>
      </c>
    </row>
    <row r="117" spans="2:21">
      <c r="B117" s="89">
        <f>B97</f>
        <v>45017</v>
      </c>
      <c r="C117" s="113">
        <v>45028</v>
      </c>
      <c r="D117" s="113">
        <v>45045</v>
      </c>
      <c r="E117" s="15">
        <v>2912200</v>
      </c>
      <c r="F117" s="15">
        <v>15100</v>
      </c>
      <c r="G117" s="21">
        <f t="shared" si="11"/>
        <v>2897100</v>
      </c>
      <c r="H117" s="94">
        <v>2897100</v>
      </c>
    </row>
    <row r="118" spans="2:21">
      <c r="B118" s="89">
        <f>B97</f>
        <v>45017</v>
      </c>
      <c r="C118" s="113">
        <v>45045</v>
      </c>
      <c r="D118" s="113">
        <v>45046</v>
      </c>
      <c r="E118" s="15">
        <v>232400</v>
      </c>
      <c r="F118" s="15">
        <v>1700</v>
      </c>
      <c r="G118" s="21">
        <f t="shared" si="11"/>
        <v>230700</v>
      </c>
      <c r="H118" s="94">
        <v>230700</v>
      </c>
    </row>
    <row r="119" spans="2:21">
      <c r="B119" s="89">
        <f>B98</f>
        <v>45047</v>
      </c>
      <c r="C119" s="113">
        <v>45047</v>
      </c>
      <c r="D119" s="113">
        <v>45077</v>
      </c>
      <c r="E119" s="15">
        <v>5488100</v>
      </c>
      <c r="F119" s="15">
        <v>31700</v>
      </c>
      <c r="G119" s="21">
        <f t="shared" si="11"/>
        <v>5456400</v>
      </c>
      <c r="H119" s="94">
        <v>5456400</v>
      </c>
    </row>
    <row r="120" spans="2:21">
      <c r="B120" s="89">
        <f>B99</f>
        <v>45078</v>
      </c>
      <c r="C120" s="113">
        <v>45078</v>
      </c>
      <c r="D120" s="113">
        <v>45107</v>
      </c>
      <c r="E120" s="15">
        <v>5090300</v>
      </c>
      <c r="F120" s="15">
        <v>29500</v>
      </c>
      <c r="G120" s="21">
        <f t="shared" si="11"/>
        <v>5060800</v>
      </c>
      <c r="H120" s="94">
        <v>5060800</v>
      </c>
    </row>
    <row r="121" spans="2:21">
      <c r="B121" s="89">
        <f>B100</f>
        <v>45108</v>
      </c>
      <c r="C121" s="113">
        <v>45108</v>
      </c>
      <c r="D121" s="113">
        <v>45138</v>
      </c>
      <c r="E121" s="15">
        <v>3868800</v>
      </c>
      <c r="F121" s="15">
        <v>29100</v>
      </c>
      <c r="G121" s="21">
        <f t="shared" si="11"/>
        <v>3839700</v>
      </c>
      <c r="H121" s="94">
        <v>3839700</v>
      </c>
    </row>
    <row r="122" spans="2:21">
      <c r="B122" s="89">
        <f>B101</f>
        <v>45139</v>
      </c>
      <c r="C122" s="113">
        <v>45139</v>
      </c>
      <c r="D122" s="113">
        <v>45169</v>
      </c>
      <c r="E122" s="15">
        <v>4878600</v>
      </c>
      <c r="F122" s="15">
        <v>30000</v>
      </c>
      <c r="G122" s="21">
        <f t="shared" si="11"/>
        <v>4848600</v>
      </c>
      <c r="H122" s="94">
        <v>4848600</v>
      </c>
    </row>
    <row r="123" spans="2:21">
      <c r="B123" s="89">
        <f t="shared" ref="B123:B126" si="12">B102</f>
        <v>45170</v>
      </c>
      <c r="C123" s="113">
        <v>45170</v>
      </c>
      <c r="D123" s="113">
        <v>45199</v>
      </c>
      <c r="E123" s="15">
        <v>4300100</v>
      </c>
      <c r="F123" s="15">
        <v>29700</v>
      </c>
      <c r="G123" s="21">
        <f t="shared" si="11"/>
        <v>4270400</v>
      </c>
      <c r="H123" s="94">
        <v>4270400</v>
      </c>
    </row>
    <row r="124" spans="2:21">
      <c r="B124" s="89">
        <f t="shared" si="12"/>
        <v>45200</v>
      </c>
      <c r="C124" s="113">
        <v>45200</v>
      </c>
      <c r="D124" s="113">
        <v>45230</v>
      </c>
      <c r="E124" s="15">
        <v>4922100</v>
      </c>
      <c r="F124" s="15">
        <v>30600</v>
      </c>
      <c r="G124" s="21">
        <f t="shared" si="11"/>
        <v>4891500</v>
      </c>
      <c r="H124" s="94">
        <v>4891500</v>
      </c>
    </row>
    <row r="125" spans="2:21">
      <c r="B125" s="89">
        <f t="shared" si="12"/>
        <v>45231</v>
      </c>
      <c r="C125" s="113">
        <v>45231</v>
      </c>
      <c r="D125" s="113">
        <v>45260</v>
      </c>
      <c r="E125" s="15">
        <v>3692000</v>
      </c>
      <c r="F125" s="15">
        <v>29900</v>
      </c>
      <c r="G125" s="21">
        <f t="shared" si="11"/>
        <v>3662100</v>
      </c>
      <c r="H125" s="94">
        <v>3662100</v>
      </c>
    </row>
    <row r="126" spans="2:21">
      <c r="B126" s="89">
        <f t="shared" si="12"/>
        <v>45261</v>
      </c>
      <c r="C126" s="113">
        <v>45261</v>
      </c>
      <c r="D126" s="113">
        <v>45291</v>
      </c>
      <c r="E126" s="15">
        <v>3704500</v>
      </c>
      <c r="F126" s="15">
        <v>32800</v>
      </c>
      <c r="G126" s="21">
        <f t="shared" si="11"/>
        <v>3671700</v>
      </c>
      <c r="H126" s="94">
        <v>3671700</v>
      </c>
    </row>
    <row r="127" spans="2:21">
      <c r="B127" s="127" t="s">
        <v>10</v>
      </c>
      <c r="C127" s="112"/>
      <c r="D127" s="112"/>
      <c r="E127" s="15"/>
      <c r="F127" s="15"/>
      <c r="G127" s="167">
        <f>SUM(G114:G126)</f>
        <v>51464200</v>
      </c>
      <c r="H127" s="167">
        <f>SUM(H114:H126)</f>
        <v>51464200</v>
      </c>
    </row>
    <row r="128" spans="2:21">
      <c r="B128" s="89">
        <f>B107</f>
        <v>45292</v>
      </c>
      <c r="C128" s="113">
        <v>45292</v>
      </c>
      <c r="D128" s="113">
        <v>45322</v>
      </c>
      <c r="E128" s="15">
        <v>3899600</v>
      </c>
      <c r="F128" s="15">
        <v>30200</v>
      </c>
      <c r="G128" s="21">
        <f t="shared" si="11"/>
        <v>3869400</v>
      </c>
      <c r="H128" s="94">
        <v>3869400</v>
      </c>
    </row>
    <row r="129" spans="1:8">
      <c r="B129" s="89">
        <f>B108</f>
        <v>45323</v>
      </c>
      <c r="C129" s="113">
        <v>45323</v>
      </c>
      <c r="D129" s="113">
        <v>45351</v>
      </c>
      <c r="E129" s="15">
        <v>4537200</v>
      </c>
      <c r="F129" s="15">
        <v>28200</v>
      </c>
      <c r="G129" s="21">
        <f t="shared" si="11"/>
        <v>4509000</v>
      </c>
      <c r="H129" s="94">
        <v>4509000</v>
      </c>
    </row>
    <row r="130" spans="1:8">
      <c r="B130" s="89">
        <f>B109</f>
        <v>45352</v>
      </c>
      <c r="C130" s="113">
        <v>45352</v>
      </c>
      <c r="D130" s="113">
        <v>45382</v>
      </c>
      <c r="E130" s="15">
        <v>4382700</v>
      </c>
      <c r="F130" s="15">
        <v>29200</v>
      </c>
      <c r="G130" s="21">
        <f t="shared" si="11"/>
        <v>4353500</v>
      </c>
      <c r="H130" s="94">
        <v>4353500</v>
      </c>
    </row>
    <row r="131" spans="1:8">
      <c r="B131" s="89">
        <f>B110</f>
        <v>45383</v>
      </c>
      <c r="C131" s="113">
        <v>45383</v>
      </c>
      <c r="D131" s="113">
        <v>45386</v>
      </c>
      <c r="E131" s="15">
        <v>611100</v>
      </c>
      <c r="F131" s="15">
        <v>2900</v>
      </c>
      <c r="G131" s="21">
        <f t="shared" si="11"/>
        <v>608200</v>
      </c>
      <c r="H131" s="94">
        <v>608200</v>
      </c>
    </row>
    <row r="132" spans="1:8">
      <c r="B132" s="89">
        <f>B110</f>
        <v>45383</v>
      </c>
      <c r="C132" s="113">
        <v>45386</v>
      </c>
      <c r="D132" s="113">
        <v>45397</v>
      </c>
      <c r="E132" s="175">
        <f>3649300*Apportioning!C39</f>
        <v>1824650</v>
      </c>
      <c r="F132" s="15">
        <v>24200</v>
      </c>
      <c r="G132" s="21">
        <f t="shared" si="11"/>
        <v>1800450</v>
      </c>
      <c r="H132" s="94">
        <v>3625100</v>
      </c>
    </row>
    <row r="133" spans="1:8">
      <c r="B133" s="127" t="s">
        <v>10</v>
      </c>
      <c r="C133" s="111"/>
      <c r="D133" s="111"/>
      <c r="E133" s="111"/>
      <c r="F133" s="111"/>
      <c r="G133" s="128">
        <f>SUM(G128:G132)</f>
        <v>15140550</v>
      </c>
      <c r="H133" s="128">
        <f>SUM(H128:H132)</f>
        <v>16965200</v>
      </c>
    </row>
    <row r="135" spans="1:8">
      <c r="A135" s="170"/>
      <c r="B135" s="171" t="s">
        <v>150</v>
      </c>
    </row>
    <row r="164" spans="1:1">
      <c r="A164" s="95"/>
    </row>
  </sheetData>
  <phoneticPr fontId="1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00B050"/>
  </sheetPr>
  <dimension ref="A1:F21"/>
  <sheetViews>
    <sheetView zoomScaleNormal="100" workbookViewId="0">
      <selection activeCell="E18" sqref="E18"/>
    </sheetView>
  </sheetViews>
  <sheetFormatPr defaultRowHeight="14.4"/>
  <cols>
    <col min="1" max="1" width="3.44140625" style="64" customWidth="1"/>
    <col min="2" max="2" width="13.88671875" style="64" customWidth="1"/>
    <col min="3" max="4" width="10.33203125" style="64" bestFit="1" customWidth="1"/>
    <col min="5" max="5" width="15.5546875" style="64" bestFit="1" customWidth="1"/>
    <col min="6" max="6" width="16.109375" style="64" bestFit="1" customWidth="1"/>
    <col min="7" max="16384" width="8.88671875" style="64"/>
  </cols>
  <sheetData>
    <row r="1" spans="2:6" ht="18">
      <c r="B1" s="110" t="s">
        <v>76</v>
      </c>
      <c r="C1" s="110"/>
      <c r="D1" s="110"/>
      <c r="E1" s="110"/>
      <c r="F1" s="110"/>
    </row>
    <row r="2" spans="2:6" s="35" customFormat="1" ht="28.8">
      <c r="B2" s="109" t="s">
        <v>51</v>
      </c>
      <c r="C2" s="109" t="s">
        <v>111</v>
      </c>
      <c r="D2" s="109" t="s">
        <v>112</v>
      </c>
      <c r="E2" s="109" t="s">
        <v>114</v>
      </c>
      <c r="F2" s="109" t="s">
        <v>115</v>
      </c>
    </row>
    <row r="3" spans="2:6">
      <c r="B3" s="89">
        <f>Punjab!B4</f>
        <v>44958</v>
      </c>
      <c r="C3" s="113">
        <v>44958</v>
      </c>
      <c r="D3" s="113">
        <v>44985</v>
      </c>
      <c r="E3" s="86">
        <v>4406984.7</v>
      </c>
      <c r="F3" s="86">
        <v>4406984.7</v>
      </c>
    </row>
    <row r="4" spans="2:6">
      <c r="B4" s="89">
        <f>Punjab!B5</f>
        <v>44986</v>
      </c>
      <c r="C4" s="113">
        <v>44986</v>
      </c>
      <c r="D4" s="113">
        <v>45016</v>
      </c>
      <c r="E4" s="86">
        <v>4177510.3999999999</v>
      </c>
      <c r="F4" s="86">
        <v>4177510.3999999999</v>
      </c>
    </row>
    <row r="5" spans="2:6">
      <c r="B5" s="89">
        <f>Punjab!B6</f>
        <v>45017</v>
      </c>
      <c r="C5" s="113">
        <v>45017</v>
      </c>
      <c r="D5" s="113">
        <v>45046</v>
      </c>
      <c r="E5" s="86">
        <v>4336205.8</v>
      </c>
      <c r="F5" s="86">
        <v>4336205.8</v>
      </c>
    </row>
    <row r="6" spans="2:6">
      <c r="B6" s="89">
        <f>Punjab!B7</f>
        <v>45047</v>
      </c>
      <c r="C6" s="113">
        <v>45047</v>
      </c>
      <c r="D6" s="113">
        <v>45077</v>
      </c>
      <c r="E6" s="86">
        <v>4840390.7</v>
      </c>
      <c r="F6" s="86">
        <v>4840390.7</v>
      </c>
    </row>
    <row r="7" spans="2:6">
      <c r="B7" s="89">
        <f>Punjab!B8</f>
        <v>45078</v>
      </c>
      <c r="C7" s="113">
        <v>45078</v>
      </c>
      <c r="D7" s="113">
        <v>45107</v>
      </c>
      <c r="E7" s="86">
        <v>3683401.7</v>
      </c>
      <c r="F7" s="86">
        <v>3683401.7</v>
      </c>
    </row>
    <row r="8" spans="2:6">
      <c r="B8" s="89">
        <f>Punjab!B9</f>
        <v>45108</v>
      </c>
      <c r="C8" s="113">
        <v>45108</v>
      </c>
      <c r="D8" s="113">
        <v>45138</v>
      </c>
      <c r="E8" s="86">
        <v>3200499.7</v>
      </c>
      <c r="F8" s="86">
        <v>3200499.7</v>
      </c>
    </row>
    <row r="9" spans="2:6">
      <c r="B9" s="89">
        <f>Punjab!B10</f>
        <v>45139</v>
      </c>
      <c r="C9" s="113">
        <v>45139</v>
      </c>
      <c r="D9" s="113">
        <v>45169</v>
      </c>
      <c r="E9" s="86">
        <v>3457695.7</v>
      </c>
      <c r="F9" s="86">
        <v>3457695.7</v>
      </c>
    </row>
    <row r="10" spans="2:6">
      <c r="B10" s="89">
        <f>Punjab!B11</f>
        <v>45170</v>
      </c>
      <c r="C10" s="113">
        <v>45170</v>
      </c>
      <c r="D10" s="113">
        <v>45199</v>
      </c>
      <c r="E10" s="86">
        <v>2902310.9</v>
      </c>
      <c r="F10" s="86">
        <v>2902310.9</v>
      </c>
    </row>
    <row r="11" spans="2:6">
      <c r="B11" s="89">
        <f>Punjab!B12</f>
        <v>45200</v>
      </c>
      <c r="C11" s="113">
        <v>45200</v>
      </c>
      <c r="D11" s="113">
        <v>45230</v>
      </c>
      <c r="E11" s="86">
        <v>4270293</v>
      </c>
      <c r="F11" s="86">
        <v>4270293</v>
      </c>
    </row>
    <row r="12" spans="2:6">
      <c r="B12" s="89">
        <f>Punjab!B13</f>
        <v>45231</v>
      </c>
      <c r="C12" s="113">
        <v>45231</v>
      </c>
      <c r="D12" s="113">
        <v>45260</v>
      </c>
      <c r="E12" s="86">
        <v>3562602.5</v>
      </c>
      <c r="F12" s="86">
        <v>3562602.5</v>
      </c>
    </row>
    <row r="13" spans="2:6">
      <c r="B13" s="89">
        <f>Punjab!B14</f>
        <v>45261</v>
      </c>
      <c r="C13" s="113">
        <v>45261</v>
      </c>
      <c r="D13" s="113">
        <v>45291</v>
      </c>
      <c r="E13" s="86">
        <v>3372695.6</v>
      </c>
      <c r="F13" s="86">
        <v>3372695.6</v>
      </c>
    </row>
    <row r="14" spans="2:6">
      <c r="B14" s="127" t="s">
        <v>10</v>
      </c>
      <c r="C14" s="112"/>
      <c r="D14" s="112"/>
      <c r="E14" s="166">
        <f>SUM(E3:E13)</f>
        <v>42210590.700000003</v>
      </c>
      <c r="F14" s="166">
        <f>SUM(F3:F13)</f>
        <v>42210590.700000003</v>
      </c>
    </row>
    <row r="15" spans="2:6">
      <c r="B15" s="89">
        <f>Punjab!B16</f>
        <v>45292</v>
      </c>
      <c r="C15" s="113">
        <v>45292</v>
      </c>
      <c r="D15" s="113">
        <v>45322</v>
      </c>
      <c r="E15" s="86">
        <v>3322904.1</v>
      </c>
      <c r="F15" s="86">
        <v>3322904.1</v>
      </c>
    </row>
    <row r="16" spans="2:6">
      <c r="B16" s="89">
        <f>Punjab!B17</f>
        <v>45323</v>
      </c>
      <c r="C16" s="113">
        <v>45323</v>
      </c>
      <c r="D16" s="113">
        <v>45351</v>
      </c>
      <c r="E16" s="86">
        <v>4047405</v>
      </c>
      <c r="F16" s="86">
        <v>4047405</v>
      </c>
    </row>
    <row r="17" spans="1:6">
      <c r="B17" s="89">
        <f>Punjab!B18</f>
        <v>45352</v>
      </c>
      <c r="C17" s="113">
        <v>45352</v>
      </c>
      <c r="D17" s="113">
        <v>45382</v>
      </c>
      <c r="E17" s="86">
        <v>4549296.0999999996</v>
      </c>
      <c r="F17" s="86">
        <v>4549296.0999999996</v>
      </c>
    </row>
    <row r="18" spans="1:6">
      <c r="B18" s="89">
        <f>Punjab!B19</f>
        <v>45383</v>
      </c>
      <c r="C18" s="113">
        <v>45383</v>
      </c>
      <c r="D18" s="113">
        <v>45397</v>
      </c>
      <c r="E18" s="172">
        <f>4142202.9*Apportioning!C44</f>
        <v>2071101.45</v>
      </c>
      <c r="F18" s="86">
        <v>4142202.9</v>
      </c>
    </row>
    <row r="19" spans="1:6">
      <c r="B19" s="127" t="s">
        <v>10</v>
      </c>
      <c r="C19" s="111"/>
      <c r="D19" s="111"/>
      <c r="E19" s="128">
        <f>SUM(E15:E18)</f>
        <v>13990706.65</v>
      </c>
      <c r="F19" s="128">
        <f>SUM(F15:F18)</f>
        <v>16061808.1</v>
      </c>
    </row>
    <row r="21" spans="1:6">
      <c r="A21" s="170"/>
      <c r="B21" s="171" t="s">
        <v>150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N42"/>
  <sheetViews>
    <sheetView topLeftCell="A25" workbookViewId="0">
      <selection activeCell="E19" sqref="E19"/>
    </sheetView>
  </sheetViews>
  <sheetFormatPr defaultRowHeight="14.4"/>
  <cols>
    <col min="1" max="1" width="3.44140625" style="64" customWidth="1"/>
    <col min="2" max="2" width="13.109375" style="64" customWidth="1"/>
    <col min="3" max="4" width="10.33203125" style="64" bestFit="1" customWidth="1"/>
    <col min="5" max="5" width="10.88671875" style="64" bestFit="1" customWidth="1"/>
    <col min="6" max="6" width="11.21875" style="64" bestFit="1" customWidth="1"/>
    <col min="7" max="7" width="13.5546875" style="64" bestFit="1" customWidth="1"/>
    <col min="8" max="8" width="13.6640625" style="64" bestFit="1" customWidth="1"/>
    <col min="9" max="9" width="9.109375" style="64" customWidth="1"/>
    <col min="10" max="10" width="8" style="64" bestFit="1" customWidth="1"/>
    <col min="11" max="11" width="16.44140625" style="64" customWidth="1"/>
    <col min="12" max="12" width="16" style="64" customWidth="1"/>
    <col min="13" max="13" width="14.5546875" style="64" customWidth="1"/>
    <col min="14" max="14" width="10.5546875" style="64" bestFit="1" customWidth="1"/>
    <col min="15" max="16384" width="8.88671875" style="64"/>
  </cols>
  <sheetData>
    <row r="1" spans="2:13" ht="18.75" customHeight="1">
      <c r="B1" s="110" t="s">
        <v>70</v>
      </c>
      <c r="C1" s="110"/>
      <c r="D1" s="110"/>
      <c r="E1" s="110"/>
      <c r="F1" s="110"/>
      <c r="G1" s="110"/>
      <c r="H1" s="110"/>
    </row>
    <row r="2" spans="2:13" s="80" customFormat="1" ht="28.8">
      <c r="B2" s="109" t="s">
        <v>51</v>
      </c>
      <c r="C2" s="109" t="s">
        <v>111</v>
      </c>
      <c r="D2" s="109" t="s">
        <v>112</v>
      </c>
      <c r="E2" s="109" t="s">
        <v>82</v>
      </c>
      <c r="F2" s="109" t="s">
        <v>83</v>
      </c>
      <c r="G2" s="109" t="s">
        <v>84</v>
      </c>
      <c r="H2" s="109" t="s">
        <v>81</v>
      </c>
      <c r="J2" s="64"/>
      <c r="K2" s="64"/>
      <c r="L2" s="64"/>
      <c r="M2" s="64"/>
    </row>
    <row r="3" spans="2:13">
      <c r="B3" s="89">
        <v>44958</v>
      </c>
      <c r="C3" s="113">
        <v>44958</v>
      </c>
      <c r="D3" s="113">
        <v>44985</v>
      </c>
      <c r="E3" s="86">
        <v>6203600</v>
      </c>
      <c r="F3" s="86">
        <v>24100</v>
      </c>
      <c r="G3" s="126">
        <f t="shared" ref="G3:G19" si="0">E3-F3</f>
        <v>6179500</v>
      </c>
      <c r="H3" s="107">
        <v>6179500</v>
      </c>
      <c r="I3" s="106"/>
    </row>
    <row r="4" spans="2:13">
      <c r="B4" s="89">
        <v>44986</v>
      </c>
      <c r="C4" s="113">
        <v>44986</v>
      </c>
      <c r="D4" s="113">
        <v>45009</v>
      </c>
      <c r="E4" s="86">
        <v>5205100</v>
      </c>
      <c r="F4" s="86">
        <v>21100</v>
      </c>
      <c r="G4" s="126">
        <f t="shared" si="0"/>
        <v>5184000</v>
      </c>
      <c r="H4" s="107">
        <v>5184000</v>
      </c>
      <c r="I4" s="106"/>
    </row>
    <row r="5" spans="2:13">
      <c r="B5" s="89">
        <v>44986</v>
      </c>
      <c r="C5" s="113">
        <v>45009</v>
      </c>
      <c r="D5" s="113">
        <v>45016</v>
      </c>
      <c r="E5" s="86">
        <v>1624700</v>
      </c>
      <c r="F5" s="86">
        <v>5600</v>
      </c>
      <c r="G5" s="126">
        <f t="shared" si="0"/>
        <v>1619100</v>
      </c>
      <c r="H5" s="107">
        <v>1619100</v>
      </c>
      <c r="I5" s="106"/>
    </row>
    <row r="6" spans="2:13">
      <c r="B6" s="89">
        <v>45017</v>
      </c>
      <c r="C6" s="113">
        <v>45017</v>
      </c>
      <c r="D6" s="113">
        <v>45046</v>
      </c>
      <c r="E6" s="86">
        <v>5649300</v>
      </c>
      <c r="F6" s="86">
        <v>21600</v>
      </c>
      <c r="G6" s="126">
        <f t="shared" si="0"/>
        <v>5627700</v>
      </c>
      <c r="H6" s="107">
        <v>5627700</v>
      </c>
      <c r="I6" s="106"/>
    </row>
    <row r="7" spans="2:13">
      <c r="B7" s="89">
        <v>45047</v>
      </c>
      <c r="C7" s="113">
        <v>45047</v>
      </c>
      <c r="D7" s="113">
        <v>45077</v>
      </c>
      <c r="E7" s="86">
        <v>5699000</v>
      </c>
      <c r="F7" s="86">
        <v>22400</v>
      </c>
      <c r="G7" s="126">
        <f t="shared" si="0"/>
        <v>5676600</v>
      </c>
      <c r="H7" s="107">
        <v>5676600</v>
      </c>
      <c r="I7" s="106"/>
    </row>
    <row r="8" spans="2:13">
      <c r="B8" s="89">
        <v>45078</v>
      </c>
      <c r="C8" s="113">
        <v>45078</v>
      </c>
      <c r="D8" s="113">
        <v>45107</v>
      </c>
      <c r="E8" s="86">
        <v>5124900</v>
      </c>
      <c r="F8" s="86">
        <v>21100</v>
      </c>
      <c r="G8" s="126">
        <f t="shared" si="0"/>
        <v>5103800</v>
      </c>
      <c r="H8" s="107">
        <v>5103800</v>
      </c>
      <c r="I8" s="106"/>
    </row>
    <row r="9" spans="2:13">
      <c r="B9" s="89">
        <v>45108</v>
      </c>
      <c r="C9" s="113">
        <v>45108</v>
      </c>
      <c r="D9" s="113">
        <v>45138</v>
      </c>
      <c r="E9" s="86">
        <v>3469000</v>
      </c>
      <c r="F9" s="86">
        <v>22700</v>
      </c>
      <c r="G9" s="126">
        <f t="shared" si="0"/>
        <v>3446300</v>
      </c>
      <c r="H9" s="107">
        <v>3446300</v>
      </c>
      <c r="I9" s="106"/>
    </row>
    <row r="10" spans="2:13">
      <c r="B10" s="89">
        <v>45139</v>
      </c>
      <c r="C10" s="113">
        <v>45139</v>
      </c>
      <c r="D10" s="113">
        <v>45169</v>
      </c>
      <c r="E10" s="85">
        <v>4841600</v>
      </c>
      <c r="F10" s="85">
        <v>22300</v>
      </c>
      <c r="G10" s="126">
        <f t="shared" si="0"/>
        <v>4819300</v>
      </c>
      <c r="H10" s="107">
        <v>4819300</v>
      </c>
      <c r="I10" s="106"/>
    </row>
    <row r="11" spans="2:13">
      <c r="B11" s="89">
        <v>45170</v>
      </c>
      <c r="C11" s="113">
        <v>45170</v>
      </c>
      <c r="D11" s="113">
        <v>45199</v>
      </c>
      <c r="E11" s="85">
        <v>4241700</v>
      </c>
      <c r="F11" s="85">
        <v>22900</v>
      </c>
      <c r="G11" s="126">
        <f t="shared" si="0"/>
        <v>4218800</v>
      </c>
      <c r="H11" s="107">
        <v>4218800</v>
      </c>
      <c r="I11" s="106"/>
    </row>
    <row r="12" spans="2:13">
      <c r="B12" s="89">
        <v>45200</v>
      </c>
      <c r="C12" s="113">
        <v>45200</v>
      </c>
      <c r="D12" s="113">
        <v>45230</v>
      </c>
      <c r="E12" s="85">
        <v>5275800</v>
      </c>
      <c r="F12" s="85">
        <v>23700</v>
      </c>
      <c r="G12" s="126">
        <f t="shared" si="0"/>
        <v>5252100</v>
      </c>
      <c r="H12" s="107">
        <v>5252100</v>
      </c>
      <c r="I12" s="106"/>
    </row>
    <row r="13" spans="2:13">
      <c r="B13" s="89">
        <v>45231</v>
      </c>
      <c r="C13" s="113">
        <v>45231</v>
      </c>
      <c r="D13" s="113">
        <v>45260</v>
      </c>
      <c r="E13" s="85">
        <v>4361500</v>
      </c>
      <c r="F13" s="85">
        <v>24100</v>
      </c>
      <c r="G13" s="126">
        <f t="shared" si="0"/>
        <v>4337400</v>
      </c>
      <c r="H13" s="107">
        <v>4337400</v>
      </c>
      <c r="I13" s="106"/>
    </row>
    <row r="14" spans="2:13">
      <c r="B14" s="89">
        <v>45261</v>
      </c>
      <c r="C14" s="113">
        <v>45261</v>
      </c>
      <c r="D14" s="113">
        <v>45291</v>
      </c>
      <c r="E14" s="85">
        <v>4730400</v>
      </c>
      <c r="F14" s="85">
        <v>25200</v>
      </c>
      <c r="G14" s="126">
        <f t="shared" si="0"/>
        <v>4705200</v>
      </c>
      <c r="H14" s="107">
        <v>4705200</v>
      </c>
      <c r="I14" s="106"/>
    </row>
    <row r="15" spans="2:13">
      <c r="B15" s="127" t="s">
        <v>10</v>
      </c>
      <c r="C15" s="112"/>
      <c r="D15" s="112"/>
      <c r="E15" s="85"/>
      <c r="F15" s="85"/>
      <c r="G15" s="128">
        <f>SUM(G3:G14)</f>
        <v>56169800</v>
      </c>
      <c r="H15" s="128">
        <f>SUM(H3:H14)</f>
        <v>56169800</v>
      </c>
      <c r="I15" s="106"/>
    </row>
    <row r="16" spans="2:13">
      <c r="B16" s="89">
        <v>45292</v>
      </c>
      <c r="C16" s="113">
        <v>45292</v>
      </c>
      <c r="D16" s="113">
        <v>45322</v>
      </c>
      <c r="E16" s="85">
        <v>5091200</v>
      </c>
      <c r="F16" s="85">
        <v>24200</v>
      </c>
      <c r="G16" s="126">
        <f t="shared" si="0"/>
        <v>5067000</v>
      </c>
      <c r="H16" s="107">
        <v>5067000</v>
      </c>
      <c r="I16" s="106"/>
    </row>
    <row r="17" spans="2:14">
      <c r="B17" s="89">
        <v>45323</v>
      </c>
      <c r="C17" s="113">
        <v>45323</v>
      </c>
      <c r="D17" s="113">
        <v>45351</v>
      </c>
      <c r="E17" s="85">
        <v>5543100</v>
      </c>
      <c r="F17" s="85">
        <v>21200</v>
      </c>
      <c r="G17" s="126">
        <f t="shared" si="0"/>
        <v>5521900</v>
      </c>
      <c r="H17" s="107">
        <v>5521900</v>
      </c>
      <c r="I17" s="106"/>
    </row>
    <row r="18" spans="2:14">
      <c r="B18" s="89">
        <v>45352</v>
      </c>
      <c r="C18" s="113">
        <v>45352</v>
      </c>
      <c r="D18" s="113">
        <v>45382</v>
      </c>
      <c r="E18" s="85">
        <v>5529900</v>
      </c>
      <c r="F18" s="85">
        <v>22400</v>
      </c>
      <c r="G18" s="126">
        <f t="shared" si="0"/>
        <v>5507500</v>
      </c>
      <c r="H18" s="107">
        <v>5507500</v>
      </c>
      <c r="I18" s="106"/>
    </row>
    <row r="19" spans="2:14">
      <c r="B19" s="89">
        <v>45383</v>
      </c>
      <c r="C19" s="113">
        <v>45383</v>
      </c>
      <c r="D19" s="113">
        <v>45397</v>
      </c>
      <c r="E19" s="174">
        <f>5130900*Apportioning!C49</f>
        <v>2565450</v>
      </c>
      <c r="F19" s="85">
        <v>20800</v>
      </c>
      <c r="G19" s="126">
        <f t="shared" si="0"/>
        <v>2544650</v>
      </c>
      <c r="H19" s="107">
        <v>5110100</v>
      </c>
      <c r="I19" s="106"/>
    </row>
    <row r="20" spans="2:14">
      <c r="B20" s="127" t="s">
        <v>10</v>
      </c>
      <c r="C20" s="127"/>
      <c r="D20" s="127"/>
      <c r="E20" s="128"/>
      <c r="F20" s="128"/>
      <c r="G20" s="128">
        <f>SUM(G16:G19)</f>
        <v>18641050</v>
      </c>
      <c r="H20" s="128">
        <f>SUM(H16:H19)</f>
        <v>21206500</v>
      </c>
    </row>
    <row r="21" spans="2:14" ht="18.75" customHeight="1">
      <c r="B21" s="110" t="s">
        <v>71</v>
      </c>
      <c r="C21" s="110"/>
      <c r="D21" s="110"/>
      <c r="E21" s="110"/>
      <c r="F21" s="110"/>
      <c r="G21" s="110"/>
      <c r="H21" s="110"/>
    </row>
    <row r="22" spans="2:14" ht="28.8">
      <c r="B22" s="111" t="s">
        <v>51</v>
      </c>
      <c r="C22" s="109" t="s">
        <v>111</v>
      </c>
      <c r="D22" s="109" t="s">
        <v>112</v>
      </c>
      <c r="E22" s="109" t="s">
        <v>82</v>
      </c>
      <c r="F22" s="109" t="s">
        <v>83</v>
      </c>
      <c r="G22" s="109" t="s">
        <v>84</v>
      </c>
      <c r="H22" s="109" t="s">
        <v>81</v>
      </c>
      <c r="N22" s="90"/>
    </row>
    <row r="23" spans="2:14">
      <c r="B23" s="89">
        <v>44958</v>
      </c>
      <c r="C23" s="113">
        <v>44958</v>
      </c>
      <c r="D23" s="113">
        <v>44985</v>
      </c>
      <c r="E23" s="84">
        <v>10219000</v>
      </c>
      <c r="F23" s="84">
        <v>38000</v>
      </c>
      <c r="G23" s="83">
        <f t="shared" ref="G23:G34" si="1">E23-F23</f>
        <v>10181000</v>
      </c>
      <c r="H23" s="84">
        <v>10181000</v>
      </c>
      <c r="I23" s="106"/>
      <c r="N23" s="90"/>
    </row>
    <row r="24" spans="2:14">
      <c r="B24" s="89">
        <v>44986</v>
      </c>
      <c r="C24" s="113">
        <v>44986</v>
      </c>
      <c r="D24" s="113">
        <v>45007</v>
      </c>
      <c r="E24" s="84">
        <v>8364000</v>
      </c>
      <c r="F24" s="84">
        <v>33000</v>
      </c>
      <c r="G24" s="83">
        <f t="shared" si="1"/>
        <v>8331000</v>
      </c>
      <c r="H24" s="84">
        <v>8331000</v>
      </c>
      <c r="I24" s="106"/>
      <c r="N24" s="90"/>
    </row>
    <row r="25" spans="2:14">
      <c r="B25" s="89">
        <v>44986</v>
      </c>
      <c r="C25" s="113">
        <v>45007</v>
      </c>
      <c r="D25" s="113">
        <v>45016</v>
      </c>
      <c r="E25" s="84">
        <v>3380000</v>
      </c>
      <c r="F25" s="84">
        <v>12000</v>
      </c>
      <c r="G25" s="83">
        <f t="shared" ref="G25" si="2">E25-F25</f>
        <v>3368000</v>
      </c>
      <c r="H25" s="84">
        <v>3368000</v>
      </c>
      <c r="I25" s="106"/>
      <c r="N25" s="90"/>
    </row>
    <row r="26" spans="2:14">
      <c r="B26" s="89">
        <v>45017</v>
      </c>
      <c r="C26" s="113">
        <v>45017</v>
      </c>
      <c r="D26" s="113">
        <v>45046</v>
      </c>
      <c r="E26" s="84">
        <v>9494000</v>
      </c>
      <c r="F26" s="84">
        <v>35000</v>
      </c>
      <c r="G26" s="83">
        <f t="shared" si="1"/>
        <v>9459000</v>
      </c>
      <c r="H26" s="84">
        <v>9459000</v>
      </c>
      <c r="I26" s="106"/>
      <c r="N26" s="90"/>
    </row>
    <row r="27" spans="2:14">
      <c r="B27" s="89">
        <v>45047</v>
      </c>
      <c r="C27" s="113">
        <v>45047</v>
      </c>
      <c r="D27" s="113">
        <v>45077</v>
      </c>
      <c r="E27" s="84">
        <v>9553000</v>
      </c>
      <c r="F27" s="84">
        <v>35000</v>
      </c>
      <c r="G27" s="83">
        <f>E27-F27</f>
        <v>9518000</v>
      </c>
      <c r="H27" s="84">
        <v>9518000</v>
      </c>
      <c r="I27" s="106"/>
    </row>
    <row r="28" spans="2:14">
      <c r="B28" s="89">
        <v>45078</v>
      </c>
      <c r="C28" s="113">
        <v>45078</v>
      </c>
      <c r="D28" s="113">
        <v>45107</v>
      </c>
      <c r="E28" s="84">
        <v>8466000</v>
      </c>
      <c r="F28" s="84">
        <v>33000</v>
      </c>
      <c r="G28" s="83">
        <f t="shared" si="1"/>
        <v>8433000</v>
      </c>
      <c r="H28" s="84">
        <v>8433000</v>
      </c>
      <c r="I28" s="106"/>
    </row>
    <row r="29" spans="2:14">
      <c r="B29" s="89">
        <v>45108</v>
      </c>
      <c r="C29" s="113">
        <v>45108</v>
      </c>
      <c r="D29" s="113">
        <v>45138</v>
      </c>
      <c r="E29" s="84">
        <v>5925000</v>
      </c>
      <c r="F29" s="84">
        <v>36000</v>
      </c>
      <c r="G29" s="83">
        <f t="shared" si="1"/>
        <v>5889000</v>
      </c>
      <c r="H29" s="84">
        <v>5889000</v>
      </c>
      <c r="I29" s="106"/>
    </row>
    <row r="30" spans="2:14">
      <c r="B30" s="89">
        <v>45139</v>
      </c>
      <c r="C30" s="113">
        <v>45139</v>
      </c>
      <c r="D30" s="113">
        <v>45169</v>
      </c>
      <c r="E30" s="84">
        <v>8169000</v>
      </c>
      <c r="F30" s="84">
        <v>33000</v>
      </c>
      <c r="G30" s="83">
        <f t="shared" si="1"/>
        <v>8136000</v>
      </c>
      <c r="H30" s="84">
        <v>8136000</v>
      </c>
      <c r="I30" s="106"/>
    </row>
    <row r="31" spans="2:14">
      <c r="B31" s="89">
        <v>45170</v>
      </c>
      <c r="C31" s="113">
        <v>45170</v>
      </c>
      <c r="D31" s="113">
        <v>45199</v>
      </c>
      <c r="E31" s="84">
        <v>7214000</v>
      </c>
      <c r="F31" s="84">
        <v>36000</v>
      </c>
      <c r="G31" s="83">
        <f t="shared" si="1"/>
        <v>7178000</v>
      </c>
      <c r="H31" s="84">
        <v>7178000</v>
      </c>
      <c r="I31" s="106"/>
    </row>
    <row r="32" spans="2:14">
      <c r="B32" s="89">
        <v>45200</v>
      </c>
      <c r="C32" s="113">
        <v>45200</v>
      </c>
      <c r="D32" s="113">
        <v>45230</v>
      </c>
      <c r="E32" s="84">
        <v>8751000</v>
      </c>
      <c r="F32" s="84">
        <v>37000</v>
      </c>
      <c r="G32" s="83">
        <f t="shared" si="1"/>
        <v>8714000</v>
      </c>
      <c r="H32" s="84">
        <v>8714000</v>
      </c>
      <c r="I32" s="106"/>
    </row>
    <row r="33" spans="1:9">
      <c r="B33" s="89">
        <v>45231</v>
      </c>
      <c r="C33" s="113">
        <v>45231</v>
      </c>
      <c r="D33" s="113">
        <v>45260</v>
      </c>
      <c r="E33" s="84">
        <v>7088000</v>
      </c>
      <c r="F33" s="84">
        <v>39000</v>
      </c>
      <c r="G33" s="83">
        <f t="shared" si="1"/>
        <v>7049000</v>
      </c>
      <c r="H33" s="84">
        <v>7049000</v>
      </c>
      <c r="I33" s="106"/>
    </row>
    <row r="34" spans="1:9">
      <c r="B34" s="89">
        <v>45261</v>
      </c>
      <c r="C34" s="113">
        <v>45261</v>
      </c>
      <c r="D34" s="113">
        <v>45291</v>
      </c>
      <c r="E34" s="84">
        <v>7757000</v>
      </c>
      <c r="F34" s="84">
        <v>37000</v>
      </c>
      <c r="G34" s="83">
        <f t="shared" si="1"/>
        <v>7720000</v>
      </c>
      <c r="H34" s="84">
        <v>7720000</v>
      </c>
      <c r="I34" s="106"/>
    </row>
    <row r="35" spans="1:9">
      <c r="B35" s="127" t="s">
        <v>10</v>
      </c>
      <c r="C35" s="112"/>
      <c r="D35" s="112"/>
      <c r="E35" s="86"/>
      <c r="F35" s="86"/>
      <c r="G35" s="128">
        <f>SUM(G23:G34)</f>
        <v>93976000</v>
      </c>
      <c r="H35" s="128">
        <f>SUM(H23:H34)</f>
        <v>93976000</v>
      </c>
      <c r="I35" s="106"/>
    </row>
    <row r="36" spans="1:9">
      <c r="B36" s="89">
        <v>45292</v>
      </c>
      <c r="C36" s="113">
        <v>45292</v>
      </c>
      <c r="D36" s="113">
        <v>45322</v>
      </c>
      <c r="E36" s="84">
        <v>8564000</v>
      </c>
      <c r="F36" s="84">
        <v>39000</v>
      </c>
      <c r="G36" s="83">
        <f t="shared" ref="G36:G39" si="3">E36-F36</f>
        <v>8525000</v>
      </c>
      <c r="H36" s="84">
        <v>8525000</v>
      </c>
      <c r="I36" s="106"/>
    </row>
    <row r="37" spans="1:9">
      <c r="B37" s="89">
        <v>45323</v>
      </c>
      <c r="C37" s="113">
        <v>45323</v>
      </c>
      <c r="D37" s="113">
        <v>45351</v>
      </c>
      <c r="E37" s="84">
        <v>9282000</v>
      </c>
      <c r="F37" s="84">
        <v>35000</v>
      </c>
      <c r="G37" s="83">
        <f t="shared" si="3"/>
        <v>9247000</v>
      </c>
      <c r="H37" s="84">
        <v>9247000</v>
      </c>
      <c r="I37" s="106"/>
    </row>
    <row r="38" spans="1:9">
      <c r="B38" s="89">
        <v>45352</v>
      </c>
      <c r="C38" s="113">
        <v>45352</v>
      </c>
      <c r="D38" s="113">
        <v>45382</v>
      </c>
      <c r="E38" s="84">
        <v>9541000</v>
      </c>
      <c r="F38" s="84">
        <v>36000</v>
      </c>
      <c r="G38" s="83">
        <f t="shared" si="3"/>
        <v>9505000</v>
      </c>
      <c r="H38" s="84">
        <v>9505000</v>
      </c>
      <c r="I38" s="106"/>
    </row>
    <row r="39" spans="1:9">
      <c r="B39" s="89">
        <v>45383</v>
      </c>
      <c r="C39" s="113">
        <v>45383</v>
      </c>
      <c r="D39" s="113">
        <v>45397</v>
      </c>
      <c r="E39" s="173">
        <f>9258000*Apportioning!C54</f>
        <v>4629000</v>
      </c>
      <c r="F39" s="84">
        <v>33000</v>
      </c>
      <c r="G39" s="83">
        <f t="shared" si="3"/>
        <v>4596000</v>
      </c>
      <c r="H39" s="84">
        <v>9225000</v>
      </c>
      <c r="I39" s="106"/>
    </row>
    <row r="40" spans="1:9">
      <c r="B40" s="127" t="s">
        <v>10</v>
      </c>
      <c r="C40" s="127"/>
      <c r="D40" s="127"/>
      <c r="E40" s="128"/>
      <c r="F40" s="128"/>
      <c r="G40" s="128">
        <f>SUM(G36:G39)</f>
        <v>31873000</v>
      </c>
      <c r="H40" s="128">
        <f>SUM(H36:H39)</f>
        <v>36502000</v>
      </c>
    </row>
    <row r="41" spans="1:9">
      <c r="E41" s="95"/>
      <c r="F41" s="95"/>
      <c r="G41" s="95"/>
    </row>
    <row r="42" spans="1:9">
      <c r="A42" s="170"/>
      <c r="B42" s="171" t="s">
        <v>150</v>
      </c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H21"/>
  <sheetViews>
    <sheetView workbookViewId="0">
      <selection activeCell="E18" sqref="E18"/>
    </sheetView>
  </sheetViews>
  <sheetFormatPr defaultRowHeight="14.4"/>
  <cols>
    <col min="1" max="1" width="3.44140625" style="64" customWidth="1"/>
    <col min="2" max="2" width="13.6640625" style="64" customWidth="1"/>
    <col min="3" max="4" width="10.33203125" style="64" bestFit="1" customWidth="1"/>
    <col min="5" max="5" width="10.88671875" style="64" bestFit="1" customWidth="1"/>
    <col min="6" max="6" width="11.21875" style="64" bestFit="1" customWidth="1"/>
    <col min="7" max="7" width="13.5546875" style="64" bestFit="1" customWidth="1"/>
    <col min="8" max="8" width="13.6640625" style="64" customWidth="1"/>
    <col min="9" max="16384" width="8.88671875" style="64"/>
  </cols>
  <sheetData>
    <row r="1" spans="2:8" ht="18">
      <c r="B1" s="110" t="s">
        <v>107</v>
      </c>
      <c r="C1" s="110"/>
      <c r="D1" s="110"/>
      <c r="E1" s="110"/>
      <c r="F1" s="110"/>
      <c r="G1" s="110"/>
      <c r="H1" s="110"/>
    </row>
    <row r="2" spans="2:8" ht="28.8">
      <c r="B2" s="109" t="s">
        <v>51</v>
      </c>
      <c r="C2" s="109" t="s">
        <v>111</v>
      </c>
      <c r="D2" s="109" t="s">
        <v>112</v>
      </c>
      <c r="E2" s="109" t="s">
        <v>82</v>
      </c>
      <c r="F2" s="109" t="s">
        <v>83</v>
      </c>
      <c r="G2" s="109" t="s">
        <v>84</v>
      </c>
      <c r="H2" s="109" t="s">
        <v>81</v>
      </c>
    </row>
    <row r="3" spans="2:8">
      <c r="B3" s="89">
        <f>Punjab!B4</f>
        <v>44958</v>
      </c>
      <c r="C3" s="113">
        <v>44958</v>
      </c>
      <c r="D3" s="113">
        <v>44985</v>
      </c>
      <c r="E3" s="84">
        <v>4407340</v>
      </c>
      <c r="F3" s="84">
        <v>23100</v>
      </c>
      <c r="G3" s="84">
        <f>E3-F3</f>
        <v>4384240</v>
      </c>
      <c r="H3" s="83">
        <v>4384240</v>
      </c>
    </row>
    <row r="4" spans="2:8">
      <c r="B4" s="89">
        <f>Punjab!B5</f>
        <v>44986</v>
      </c>
      <c r="C4" s="113">
        <v>44986</v>
      </c>
      <c r="D4" s="113">
        <v>45016</v>
      </c>
      <c r="E4" s="84">
        <v>3973650</v>
      </c>
      <c r="F4" s="84">
        <v>25230</v>
      </c>
      <c r="G4" s="84">
        <f>E4-F4</f>
        <v>3948420</v>
      </c>
      <c r="H4" s="83">
        <v>3948420</v>
      </c>
    </row>
    <row r="5" spans="2:8">
      <c r="B5" s="89">
        <f>Punjab!B6</f>
        <v>45017</v>
      </c>
      <c r="C5" s="113">
        <v>45017</v>
      </c>
      <c r="D5" s="113">
        <v>45046</v>
      </c>
      <c r="E5" s="84">
        <v>4283590</v>
      </c>
      <c r="F5" s="84">
        <v>23040</v>
      </c>
      <c r="G5" s="84">
        <f t="shared" ref="G5:G18" si="0">E5-F5</f>
        <v>4260550</v>
      </c>
      <c r="H5" s="83">
        <v>4260550</v>
      </c>
    </row>
    <row r="6" spans="2:8">
      <c r="B6" s="89">
        <f>Punjab!B7</f>
        <v>45047</v>
      </c>
      <c r="C6" s="113">
        <v>45047</v>
      </c>
      <c r="D6" s="113">
        <v>45077</v>
      </c>
      <c r="E6" s="84">
        <v>4411780</v>
      </c>
      <c r="F6" s="84">
        <v>22820</v>
      </c>
      <c r="G6" s="84">
        <f t="shared" si="0"/>
        <v>4388960</v>
      </c>
      <c r="H6" s="83">
        <v>4388960</v>
      </c>
    </row>
    <row r="7" spans="2:8">
      <c r="B7" s="89">
        <f>Punjab!B8</f>
        <v>45078</v>
      </c>
      <c r="C7" s="113">
        <v>45078</v>
      </c>
      <c r="D7" s="113">
        <v>45107</v>
      </c>
      <c r="E7" s="84">
        <v>3797360</v>
      </c>
      <c r="F7" s="84">
        <v>23210</v>
      </c>
      <c r="G7" s="84">
        <f>E7-F7</f>
        <v>3774150</v>
      </c>
      <c r="H7" s="83">
        <v>3774150</v>
      </c>
    </row>
    <row r="8" spans="2:8">
      <c r="B8" s="89">
        <f>Punjab!B9</f>
        <v>45108</v>
      </c>
      <c r="C8" s="113">
        <v>45108</v>
      </c>
      <c r="D8" s="113">
        <v>45138</v>
      </c>
      <c r="E8" s="84">
        <v>3182820</v>
      </c>
      <c r="F8" s="84">
        <v>22610</v>
      </c>
      <c r="G8" s="84">
        <f t="shared" si="0"/>
        <v>3160210</v>
      </c>
      <c r="H8" s="83">
        <v>3160210</v>
      </c>
    </row>
    <row r="9" spans="2:8">
      <c r="B9" s="89">
        <f>Punjab!B10</f>
        <v>45139</v>
      </c>
      <c r="C9" s="113">
        <v>45139</v>
      </c>
      <c r="D9" s="113">
        <v>45169</v>
      </c>
      <c r="E9" s="84">
        <v>3274170</v>
      </c>
      <c r="F9" s="84">
        <v>23090</v>
      </c>
      <c r="G9" s="84">
        <f t="shared" si="0"/>
        <v>3251080</v>
      </c>
      <c r="H9" s="83">
        <v>3251080</v>
      </c>
    </row>
    <row r="10" spans="2:8">
      <c r="B10" s="89">
        <f>Punjab!B11</f>
        <v>45170</v>
      </c>
      <c r="C10" s="113">
        <v>45170</v>
      </c>
      <c r="D10" s="113">
        <v>45199</v>
      </c>
      <c r="E10" s="84">
        <v>2798930</v>
      </c>
      <c r="F10" s="84">
        <v>23360</v>
      </c>
      <c r="G10" s="84">
        <f t="shared" si="0"/>
        <v>2775570</v>
      </c>
      <c r="H10" s="83">
        <v>2775570</v>
      </c>
    </row>
    <row r="11" spans="2:8">
      <c r="B11" s="89">
        <f>Punjab!B12</f>
        <v>45200</v>
      </c>
      <c r="C11" s="113">
        <v>45200</v>
      </c>
      <c r="D11" s="113">
        <v>45230</v>
      </c>
      <c r="E11" s="84">
        <v>4202250</v>
      </c>
      <c r="F11" s="84">
        <v>26780</v>
      </c>
      <c r="G11" s="84">
        <f t="shared" si="0"/>
        <v>4175470</v>
      </c>
      <c r="H11" s="83">
        <v>4175470</v>
      </c>
    </row>
    <row r="12" spans="2:8">
      <c r="B12" s="89">
        <f>Punjab!B13</f>
        <v>45231</v>
      </c>
      <c r="C12" s="113">
        <v>45231</v>
      </c>
      <c r="D12" s="113">
        <v>45260</v>
      </c>
      <c r="E12" s="84">
        <v>3740970</v>
      </c>
      <c r="F12" s="84">
        <v>24770</v>
      </c>
      <c r="G12" s="84">
        <f t="shared" si="0"/>
        <v>3716200</v>
      </c>
      <c r="H12" s="83">
        <v>3716200</v>
      </c>
    </row>
    <row r="13" spans="2:8">
      <c r="B13" s="89">
        <f>Punjab!B14</f>
        <v>45261</v>
      </c>
      <c r="C13" s="113">
        <v>45261</v>
      </c>
      <c r="D13" s="113">
        <v>45291</v>
      </c>
      <c r="E13" s="84">
        <v>3316220</v>
      </c>
      <c r="F13" s="84">
        <v>27850</v>
      </c>
      <c r="G13" s="84">
        <f t="shared" si="0"/>
        <v>3288370</v>
      </c>
      <c r="H13" s="83">
        <v>3288370</v>
      </c>
    </row>
    <row r="14" spans="2:8">
      <c r="B14" s="127" t="s">
        <v>10</v>
      </c>
      <c r="C14" s="129"/>
      <c r="D14" s="129"/>
      <c r="E14" s="84"/>
      <c r="F14" s="84"/>
      <c r="G14" s="166">
        <f>SUM(G3:G13)</f>
        <v>41123220</v>
      </c>
      <c r="H14" s="166">
        <f>SUM(H3:H13)</f>
        <v>41123220</v>
      </c>
    </row>
    <row r="15" spans="2:8">
      <c r="B15" s="89">
        <f>Punjab!B16</f>
        <v>45292</v>
      </c>
      <c r="C15" s="113">
        <v>45292</v>
      </c>
      <c r="D15" s="113">
        <v>45322</v>
      </c>
      <c r="E15" s="84">
        <v>3436430</v>
      </c>
      <c r="F15" s="84">
        <v>27200</v>
      </c>
      <c r="G15" s="84">
        <f t="shared" si="0"/>
        <v>3409230</v>
      </c>
      <c r="H15" s="83">
        <v>3409230</v>
      </c>
    </row>
    <row r="16" spans="2:8">
      <c r="B16" s="89">
        <f>Punjab!B17</f>
        <v>45323</v>
      </c>
      <c r="C16" s="113">
        <v>45323</v>
      </c>
      <c r="D16" s="113">
        <v>45351</v>
      </c>
      <c r="E16" s="84">
        <v>3974280</v>
      </c>
      <c r="F16" s="84">
        <v>24810</v>
      </c>
      <c r="G16" s="84">
        <f t="shared" si="0"/>
        <v>3949470</v>
      </c>
      <c r="H16" s="83">
        <v>3949470</v>
      </c>
    </row>
    <row r="17" spans="1:8">
      <c r="B17" s="89">
        <f>Punjab!B18</f>
        <v>45352</v>
      </c>
      <c r="C17" s="113">
        <v>45352</v>
      </c>
      <c r="D17" s="113">
        <v>45382</v>
      </c>
      <c r="E17" s="84">
        <v>4174900</v>
      </c>
      <c r="F17" s="84">
        <v>24304</v>
      </c>
      <c r="G17" s="84">
        <f t="shared" si="0"/>
        <v>4150596</v>
      </c>
      <c r="H17" s="83">
        <v>4150596</v>
      </c>
    </row>
    <row r="18" spans="1:8">
      <c r="B18" s="89">
        <f>Punjab!B19</f>
        <v>45383</v>
      </c>
      <c r="C18" s="113">
        <v>45383</v>
      </c>
      <c r="D18" s="113">
        <v>45397</v>
      </c>
      <c r="E18" s="173">
        <f>4082290*Apportioning!C59</f>
        <v>2041145</v>
      </c>
      <c r="F18" s="84">
        <v>23980</v>
      </c>
      <c r="G18" s="84">
        <f t="shared" si="0"/>
        <v>2017165</v>
      </c>
      <c r="H18" s="83">
        <v>4058310</v>
      </c>
    </row>
    <row r="19" spans="1:8">
      <c r="B19" s="127" t="s">
        <v>10</v>
      </c>
      <c r="C19" s="127"/>
      <c r="D19" s="127"/>
      <c r="E19" s="128"/>
      <c r="F19" s="128"/>
      <c r="G19" s="128">
        <f>SUM(G15:G18)</f>
        <v>13526461</v>
      </c>
      <c r="H19" s="128">
        <f>SUM(H15:H18)</f>
        <v>15567606</v>
      </c>
    </row>
    <row r="21" spans="1:8">
      <c r="A21" s="170"/>
      <c r="B21" s="171" t="s">
        <v>150</v>
      </c>
    </row>
  </sheetData>
  <phoneticPr fontId="12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I21"/>
  <sheetViews>
    <sheetView workbookViewId="0">
      <selection activeCell="E18" sqref="E18"/>
    </sheetView>
  </sheetViews>
  <sheetFormatPr defaultRowHeight="14.4"/>
  <cols>
    <col min="1" max="1" width="3.44140625" style="64" customWidth="1"/>
    <col min="2" max="2" width="14.88671875" style="64" customWidth="1"/>
    <col min="3" max="4" width="10.33203125" style="64" bestFit="1" customWidth="1"/>
    <col min="5" max="5" width="10.88671875" style="64" bestFit="1" customWidth="1"/>
    <col min="6" max="6" width="11.21875" style="64" bestFit="1" customWidth="1"/>
    <col min="7" max="7" width="13.5546875" style="64" bestFit="1" customWidth="1"/>
    <col min="8" max="8" width="13.6640625" style="64" bestFit="1" customWidth="1"/>
    <col min="9" max="16384" width="8.88671875" style="64"/>
  </cols>
  <sheetData>
    <row r="1" spans="2:9" ht="18.75" customHeight="1">
      <c r="B1" s="110" t="s">
        <v>105</v>
      </c>
      <c r="C1" s="110"/>
      <c r="D1" s="110"/>
      <c r="E1" s="110"/>
      <c r="F1" s="110"/>
      <c r="G1" s="110"/>
      <c r="H1" s="110"/>
    </row>
    <row r="2" spans="2:9" s="80" customFormat="1" ht="28.8">
      <c r="B2" s="109" t="s">
        <v>51</v>
      </c>
      <c r="C2" s="109" t="s">
        <v>111</v>
      </c>
      <c r="D2" s="109" t="s">
        <v>112</v>
      </c>
      <c r="E2" s="109" t="s">
        <v>82</v>
      </c>
      <c r="F2" s="109" t="s">
        <v>83</v>
      </c>
      <c r="G2" s="109" t="s">
        <v>84</v>
      </c>
      <c r="H2" s="109" t="s">
        <v>81</v>
      </c>
      <c r="I2" s="64"/>
    </row>
    <row r="3" spans="2:9">
      <c r="B3" s="89">
        <v>44958</v>
      </c>
      <c r="C3" s="113">
        <v>44958</v>
      </c>
      <c r="D3" s="113">
        <v>44985</v>
      </c>
      <c r="E3" s="84">
        <v>1710350</v>
      </c>
      <c r="F3" s="84">
        <v>8400</v>
      </c>
      <c r="G3" s="83">
        <f t="shared" ref="G3:G13" si="0">E3-F3</f>
        <v>1701950</v>
      </c>
      <c r="H3" s="84">
        <v>1701950</v>
      </c>
    </row>
    <row r="4" spans="2:9">
      <c r="B4" s="89">
        <v>44986</v>
      </c>
      <c r="C4" s="113">
        <v>44986</v>
      </c>
      <c r="D4" s="113">
        <v>45016</v>
      </c>
      <c r="E4" s="84">
        <v>2031050</v>
      </c>
      <c r="F4" s="84">
        <v>8450</v>
      </c>
      <c r="G4" s="83">
        <f t="shared" si="0"/>
        <v>2022600</v>
      </c>
      <c r="H4" s="84">
        <v>2022600</v>
      </c>
    </row>
    <row r="5" spans="2:9">
      <c r="B5" s="89">
        <v>45017</v>
      </c>
      <c r="C5" s="113">
        <v>45017</v>
      </c>
      <c r="D5" s="113">
        <v>45046</v>
      </c>
      <c r="E5" s="84">
        <v>2200700</v>
      </c>
      <c r="F5" s="84">
        <v>6500</v>
      </c>
      <c r="G5" s="83">
        <f t="shared" si="0"/>
        <v>2194200</v>
      </c>
      <c r="H5" s="84">
        <v>2194200</v>
      </c>
    </row>
    <row r="6" spans="2:9">
      <c r="B6" s="89">
        <v>45047</v>
      </c>
      <c r="C6" s="113">
        <v>45047</v>
      </c>
      <c r="D6" s="113">
        <v>45077</v>
      </c>
      <c r="E6" s="84">
        <v>2240500</v>
      </c>
      <c r="F6" s="84">
        <v>6000</v>
      </c>
      <c r="G6" s="83">
        <f>E6-F6</f>
        <v>2234500</v>
      </c>
      <c r="H6" s="84">
        <v>2234500</v>
      </c>
    </row>
    <row r="7" spans="2:9">
      <c r="B7" s="89">
        <v>45078</v>
      </c>
      <c r="C7" s="113">
        <v>45078</v>
      </c>
      <c r="D7" s="113">
        <v>45107</v>
      </c>
      <c r="E7" s="84">
        <v>1990600</v>
      </c>
      <c r="F7" s="84">
        <v>5550</v>
      </c>
      <c r="G7" s="83">
        <f t="shared" si="0"/>
        <v>1985050</v>
      </c>
      <c r="H7" s="84">
        <v>1985050</v>
      </c>
    </row>
    <row r="8" spans="2:9">
      <c r="B8" s="89">
        <v>45108</v>
      </c>
      <c r="C8" s="113">
        <v>45108</v>
      </c>
      <c r="D8" s="113">
        <v>45138</v>
      </c>
      <c r="E8" s="84">
        <v>1682050</v>
      </c>
      <c r="F8" s="84">
        <v>5750</v>
      </c>
      <c r="G8" s="83">
        <f t="shared" si="0"/>
        <v>1676300</v>
      </c>
      <c r="H8" s="84">
        <v>1676300</v>
      </c>
    </row>
    <row r="9" spans="2:9">
      <c r="B9" s="89">
        <v>45139</v>
      </c>
      <c r="C9" s="113">
        <v>45139</v>
      </c>
      <c r="D9" s="113">
        <v>45169</v>
      </c>
      <c r="E9" s="84">
        <v>1543650</v>
      </c>
      <c r="F9" s="84">
        <v>6550</v>
      </c>
      <c r="G9" s="83">
        <f t="shared" si="0"/>
        <v>1537100</v>
      </c>
      <c r="H9" s="84">
        <v>1537100</v>
      </c>
    </row>
    <row r="10" spans="2:9">
      <c r="B10" s="89">
        <v>45170</v>
      </c>
      <c r="C10" s="113">
        <v>45170</v>
      </c>
      <c r="D10" s="113">
        <v>45199</v>
      </c>
      <c r="E10" s="84">
        <v>1648350</v>
      </c>
      <c r="F10" s="84">
        <v>6250</v>
      </c>
      <c r="G10" s="83">
        <f t="shared" si="0"/>
        <v>1642100</v>
      </c>
      <c r="H10" s="84">
        <v>1642100</v>
      </c>
    </row>
    <row r="11" spans="2:9">
      <c r="B11" s="89">
        <v>45200</v>
      </c>
      <c r="C11" s="113">
        <v>45200</v>
      </c>
      <c r="D11" s="113">
        <v>45230</v>
      </c>
      <c r="E11" s="84">
        <v>1901150</v>
      </c>
      <c r="F11" s="84">
        <v>7550</v>
      </c>
      <c r="G11" s="83">
        <f t="shared" si="0"/>
        <v>1893600</v>
      </c>
      <c r="H11" s="84">
        <v>1893600</v>
      </c>
    </row>
    <row r="12" spans="2:9">
      <c r="B12" s="89">
        <v>45231</v>
      </c>
      <c r="C12" s="113">
        <v>45231</v>
      </c>
      <c r="D12" s="113">
        <v>45260</v>
      </c>
      <c r="E12" s="84">
        <v>1471550</v>
      </c>
      <c r="F12" s="84">
        <v>9250</v>
      </c>
      <c r="G12" s="83">
        <f t="shared" si="0"/>
        <v>1462300</v>
      </c>
      <c r="H12" s="84">
        <v>1462300</v>
      </c>
    </row>
    <row r="13" spans="2:9">
      <c r="B13" s="89">
        <v>45261</v>
      </c>
      <c r="C13" s="113">
        <v>45261</v>
      </c>
      <c r="D13" s="113">
        <v>45291</v>
      </c>
      <c r="E13" s="84">
        <v>1342400</v>
      </c>
      <c r="F13" s="84">
        <v>9100</v>
      </c>
      <c r="G13" s="83">
        <f t="shared" si="0"/>
        <v>1333300</v>
      </c>
      <c r="H13" s="84">
        <v>1333300</v>
      </c>
    </row>
    <row r="14" spans="2:9">
      <c r="B14" s="127" t="s">
        <v>10</v>
      </c>
      <c r="C14" s="129"/>
      <c r="D14" s="129"/>
      <c r="E14" s="86"/>
      <c r="F14" s="86"/>
      <c r="G14" s="128">
        <f>SUM(G3:G13)</f>
        <v>19683000</v>
      </c>
      <c r="H14" s="128">
        <f>SUM(H3:H13)</f>
        <v>19683000</v>
      </c>
    </row>
    <row r="15" spans="2:9">
      <c r="B15" s="89">
        <v>45292</v>
      </c>
      <c r="C15" s="113">
        <v>45292</v>
      </c>
      <c r="D15" s="113">
        <v>45322</v>
      </c>
      <c r="E15" s="86">
        <v>696700</v>
      </c>
      <c r="F15" s="86">
        <v>8600</v>
      </c>
      <c r="G15" s="86">
        <f t="shared" ref="G15:G18" si="1">E15-F15</f>
        <v>688100</v>
      </c>
      <c r="H15" s="86">
        <v>688100</v>
      </c>
    </row>
    <row r="16" spans="2:9">
      <c r="B16" s="89">
        <v>45323</v>
      </c>
      <c r="C16" s="113">
        <v>45323</v>
      </c>
      <c r="D16" s="113">
        <v>45351</v>
      </c>
      <c r="E16" s="86">
        <v>1475650</v>
      </c>
      <c r="F16" s="86">
        <v>7450</v>
      </c>
      <c r="G16" s="86">
        <f t="shared" si="1"/>
        <v>1468200</v>
      </c>
      <c r="H16" s="86">
        <v>1468200</v>
      </c>
    </row>
    <row r="17" spans="1:8">
      <c r="B17" s="89">
        <v>45352</v>
      </c>
      <c r="C17" s="113">
        <v>45352</v>
      </c>
      <c r="D17" s="113">
        <v>45382</v>
      </c>
      <c r="E17" s="86">
        <v>2045200</v>
      </c>
      <c r="F17" s="86">
        <v>7550</v>
      </c>
      <c r="G17" s="86">
        <f t="shared" si="1"/>
        <v>2037650</v>
      </c>
      <c r="H17" s="86">
        <v>2037650</v>
      </c>
    </row>
    <row r="18" spans="1:8">
      <c r="B18" s="89">
        <v>45383</v>
      </c>
      <c r="C18" s="113">
        <v>45383</v>
      </c>
      <c r="D18" s="113">
        <v>45397</v>
      </c>
      <c r="E18" s="172">
        <f>2027700*Apportioning!C64</f>
        <v>1013850</v>
      </c>
      <c r="F18" s="86">
        <v>5600</v>
      </c>
      <c r="G18" s="86">
        <f t="shared" si="1"/>
        <v>1008250</v>
      </c>
      <c r="H18" s="86">
        <v>2022100</v>
      </c>
    </row>
    <row r="19" spans="1:8">
      <c r="B19" s="127" t="s">
        <v>10</v>
      </c>
      <c r="C19" s="127"/>
      <c r="D19" s="127"/>
      <c r="E19" s="128"/>
      <c r="F19" s="128"/>
      <c r="G19" s="128">
        <f>SUM(G15:G18)</f>
        <v>5202200</v>
      </c>
      <c r="H19" s="128">
        <f>SUM(H15:H18)</f>
        <v>6216050</v>
      </c>
    </row>
    <row r="21" spans="1:8">
      <c r="A21" s="170"/>
      <c r="B21" s="171" t="s">
        <v>150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E2B0-7B48-4A9A-8AED-D8A4332ADB93}">
  <dimension ref="B1:F64"/>
  <sheetViews>
    <sheetView workbookViewId="0">
      <selection activeCell="F28" sqref="F28"/>
    </sheetView>
  </sheetViews>
  <sheetFormatPr defaultRowHeight="14.4"/>
  <cols>
    <col min="1" max="1" width="4" customWidth="1"/>
    <col min="2" max="2" width="52.44140625" bestFit="1" customWidth="1"/>
    <col min="3" max="3" width="9.6640625" customWidth="1"/>
    <col min="4" max="4" width="4.109375" customWidth="1"/>
    <col min="5" max="5" width="52.44140625" bestFit="1" customWidth="1"/>
  </cols>
  <sheetData>
    <row r="1" spans="2:3">
      <c r="B1" s="22" t="s">
        <v>155</v>
      </c>
    </row>
    <row r="2" spans="2:3">
      <c r="B2" s="2" t="s">
        <v>151</v>
      </c>
      <c r="C2" s="169">
        <v>3246000</v>
      </c>
    </row>
    <row r="3" spans="2:3">
      <c r="B3" s="2" t="s">
        <v>152</v>
      </c>
      <c r="C3" s="169">
        <v>1623000</v>
      </c>
    </row>
    <row r="4" spans="2:3">
      <c r="B4" s="2" t="s">
        <v>149</v>
      </c>
      <c r="C4" s="2">
        <f>C3/C2</f>
        <v>0.5</v>
      </c>
    </row>
    <row r="6" spans="2:3">
      <c r="B6" s="22" t="s">
        <v>153</v>
      </c>
    </row>
    <row r="7" spans="2:3">
      <c r="B7" s="2" t="s">
        <v>151</v>
      </c>
      <c r="C7" s="169">
        <v>3370000</v>
      </c>
    </row>
    <row r="8" spans="2:3">
      <c r="B8" s="2" t="s">
        <v>152</v>
      </c>
      <c r="C8" s="169">
        <v>1685000</v>
      </c>
    </row>
    <row r="9" spans="2:3">
      <c r="B9" s="2" t="s">
        <v>149</v>
      </c>
      <c r="C9" s="2">
        <f>C8/C7</f>
        <v>0.5</v>
      </c>
    </row>
    <row r="11" spans="2:3">
      <c r="B11" s="22" t="s">
        <v>154</v>
      </c>
    </row>
    <row r="12" spans="2:3">
      <c r="B12" s="2" t="s">
        <v>151</v>
      </c>
      <c r="C12" s="169">
        <v>3458000</v>
      </c>
    </row>
    <row r="13" spans="2:3">
      <c r="B13" s="2" t="s">
        <v>152</v>
      </c>
      <c r="C13" s="169">
        <v>1729000</v>
      </c>
    </row>
    <row r="14" spans="2:3">
      <c r="B14" s="2" t="s">
        <v>149</v>
      </c>
      <c r="C14" s="2">
        <f>C13/C12</f>
        <v>0.5</v>
      </c>
    </row>
    <row r="16" spans="2:3">
      <c r="B16" s="22" t="s">
        <v>92</v>
      </c>
    </row>
    <row r="17" spans="2:6">
      <c r="B17" s="2" t="s">
        <v>151</v>
      </c>
      <c r="C17" s="169">
        <v>7725900</v>
      </c>
    </row>
    <row r="18" spans="2:6">
      <c r="B18" s="2" t="s">
        <v>152</v>
      </c>
      <c r="C18" s="169">
        <v>3862950</v>
      </c>
    </row>
    <row r="19" spans="2:6">
      <c r="B19" s="2" t="s">
        <v>149</v>
      </c>
      <c r="C19" s="2">
        <f>C18/C17</f>
        <v>0.5</v>
      </c>
    </row>
    <row r="21" spans="2:6">
      <c r="B21" s="22" t="s">
        <v>159</v>
      </c>
      <c r="E21" s="22" t="s">
        <v>160</v>
      </c>
    </row>
    <row r="22" spans="2:6">
      <c r="B22" s="2" t="s">
        <v>151</v>
      </c>
      <c r="C22" s="169">
        <v>1802400</v>
      </c>
      <c r="E22" s="2" t="s">
        <v>151</v>
      </c>
      <c r="F22" s="169">
        <v>1792000</v>
      </c>
    </row>
    <row r="23" spans="2:6">
      <c r="B23" s="2" t="s">
        <v>152</v>
      </c>
      <c r="C23" s="169">
        <v>901200</v>
      </c>
      <c r="E23" s="2" t="s">
        <v>152</v>
      </c>
      <c r="F23" s="169">
        <v>896000</v>
      </c>
    </row>
    <row r="24" spans="2:6">
      <c r="B24" s="2" t="s">
        <v>149</v>
      </c>
      <c r="C24" s="2">
        <f>C23/C22</f>
        <v>0.5</v>
      </c>
      <c r="E24" s="2" t="s">
        <v>149</v>
      </c>
      <c r="F24" s="2">
        <f>F23/F22</f>
        <v>0.5</v>
      </c>
    </row>
    <row r="26" spans="2:6">
      <c r="B26" s="22" t="s">
        <v>161</v>
      </c>
      <c r="E26" s="22" t="s">
        <v>162</v>
      </c>
    </row>
    <row r="27" spans="2:6">
      <c r="B27" s="2" t="s">
        <v>151</v>
      </c>
      <c r="C27" s="169">
        <v>1408600</v>
      </c>
      <c r="E27" s="2" t="s">
        <v>151</v>
      </c>
      <c r="F27" s="169">
        <v>1397200</v>
      </c>
    </row>
    <row r="28" spans="2:6">
      <c r="B28" s="2" t="s">
        <v>152</v>
      </c>
      <c r="C28" s="169">
        <v>704300</v>
      </c>
      <c r="E28" s="2" t="s">
        <v>152</v>
      </c>
      <c r="F28" s="169">
        <v>698600</v>
      </c>
    </row>
    <row r="29" spans="2:6">
      <c r="B29" s="2" t="s">
        <v>149</v>
      </c>
      <c r="C29" s="2">
        <f>C28/C27</f>
        <v>0.5</v>
      </c>
      <c r="E29" s="2" t="s">
        <v>149</v>
      </c>
      <c r="F29" s="2">
        <f>F28/F27</f>
        <v>0.5</v>
      </c>
    </row>
    <row r="31" spans="2:6">
      <c r="B31" s="22" t="s">
        <v>93</v>
      </c>
    </row>
    <row r="32" spans="2:6">
      <c r="B32" s="2" t="s">
        <v>151</v>
      </c>
      <c r="C32" s="169">
        <v>7409000</v>
      </c>
    </row>
    <row r="33" spans="2:3">
      <c r="B33" s="2" t="s">
        <v>152</v>
      </c>
      <c r="C33" s="169">
        <v>3704500</v>
      </c>
    </row>
    <row r="34" spans="2:3">
      <c r="B34" s="2" t="s">
        <v>149</v>
      </c>
      <c r="C34" s="2">
        <f>C33/C32</f>
        <v>0.5</v>
      </c>
    </row>
    <row r="36" spans="2:3">
      <c r="B36" s="22" t="s">
        <v>95</v>
      </c>
    </row>
    <row r="37" spans="2:3">
      <c r="B37" s="2" t="s">
        <v>151</v>
      </c>
      <c r="C37" s="169">
        <v>3625100</v>
      </c>
    </row>
    <row r="38" spans="2:3">
      <c r="B38" s="2" t="s">
        <v>152</v>
      </c>
      <c r="C38" s="169">
        <v>1812550</v>
      </c>
    </row>
    <row r="39" spans="2:3">
      <c r="B39" s="2" t="s">
        <v>149</v>
      </c>
      <c r="C39" s="2">
        <f>C38/C37</f>
        <v>0.5</v>
      </c>
    </row>
    <row r="41" spans="2:3">
      <c r="B41" s="22" t="s">
        <v>96</v>
      </c>
    </row>
    <row r="42" spans="2:3">
      <c r="B42" s="2" t="s">
        <v>151</v>
      </c>
      <c r="C42" s="169">
        <v>4142202</v>
      </c>
    </row>
    <row r="43" spans="2:3">
      <c r="B43" s="2" t="s">
        <v>152</v>
      </c>
      <c r="C43" s="169">
        <v>2071101</v>
      </c>
    </row>
    <row r="44" spans="2:3">
      <c r="B44" s="2" t="s">
        <v>149</v>
      </c>
      <c r="C44" s="2">
        <f>C43/C42</f>
        <v>0.5</v>
      </c>
    </row>
    <row r="46" spans="2:3">
      <c r="B46" s="22" t="s">
        <v>156</v>
      </c>
    </row>
    <row r="47" spans="2:3">
      <c r="B47" s="2" t="s">
        <v>151</v>
      </c>
      <c r="C47" s="169">
        <v>5110100</v>
      </c>
    </row>
    <row r="48" spans="2:3">
      <c r="B48" s="2" t="s">
        <v>152</v>
      </c>
      <c r="C48" s="169">
        <v>2555050</v>
      </c>
    </row>
    <row r="49" spans="2:3">
      <c r="B49" s="2" t="s">
        <v>149</v>
      </c>
      <c r="C49" s="2">
        <f>C48/C47</f>
        <v>0.5</v>
      </c>
    </row>
    <row r="51" spans="2:3">
      <c r="B51" s="22" t="s">
        <v>157</v>
      </c>
    </row>
    <row r="52" spans="2:3">
      <c r="B52" s="2" t="s">
        <v>151</v>
      </c>
      <c r="C52" s="169">
        <v>9225000</v>
      </c>
    </row>
    <row r="53" spans="2:3">
      <c r="B53" s="2" t="s">
        <v>152</v>
      </c>
      <c r="C53" s="169">
        <v>4612500</v>
      </c>
    </row>
    <row r="54" spans="2:3">
      <c r="B54" s="2" t="s">
        <v>149</v>
      </c>
      <c r="C54" s="2">
        <f>C53/C52</f>
        <v>0.5</v>
      </c>
    </row>
    <row r="56" spans="2:3">
      <c r="B56" s="22" t="s">
        <v>158</v>
      </c>
    </row>
    <row r="57" spans="2:3">
      <c r="B57" s="2" t="s">
        <v>151</v>
      </c>
      <c r="C57" s="169">
        <v>4058310</v>
      </c>
    </row>
    <row r="58" spans="2:3">
      <c r="B58" s="2" t="s">
        <v>152</v>
      </c>
      <c r="C58" s="169">
        <v>2029155</v>
      </c>
    </row>
    <row r="59" spans="2:3">
      <c r="B59" s="2" t="s">
        <v>149</v>
      </c>
      <c r="C59" s="2">
        <f>C58/C57</f>
        <v>0.5</v>
      </c>
    </row>
    <row r="61" spans="2:3">
      <c r="B61" s="22" t="s">
        <v>75</v>
      </c>
    </row>
    <row r="62" spans="2:3">
      <c r="B62" s="2" t="s">
        <v>151</v>
      </c>
      <c r="C62" s="169">
        <v>2022100</v>
      </c>
    </row>
    <row r="63" spans="2:3">
      <c r="B63" s="2" t="s">
        <v>152</v>
      </c>
      <c r="C63" s="169">
        <v>1011050</v>
      </c>
    </row>
    <row r="64" spans="2:3">
      <c r="B64" s="2" t="s">
        <v>149</v>
      </c>
      <c r="C64" s="2">
        <f>C63/C62</f>
        <v>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FF0000"/>
  </sheetPr>
  <dimension ref="A3:M120"/>
  <sheetViews>
    <sheetView workbookViewId="0">
      <selection activeCell="G6" sqref="G6"/>
    </sheetView>
  </sheetViews>
  <sheetFormatPr defaultRowHeight="14.4"/>
  <cols>
    <col min="1" max="1" width="10.109375" customWidth="1"/>
    <col min="2" max="2" width="12.44140625" bestFit="1" customWidth="1"/>
    <col min="3" max="5" width="15.6640625" customWidth="1"/>
    <col min="6" max="6" width="10.109375" bestFit="1" customWidth="1"/>
    <col min="7" max="7" width="11.5546875" style="66" customWidth="1"/>
    <col min="8" max="8" width="10.5546875" bestFit="1" customWidth="1"/>
    <col min="9" max="9" width="17.33203125" customWidth="1"/>
    <col min="10" max="10" width="11.5546875" bestFit="1" customWidth="1"/>
    <col min="11" max="11" width="23.88671875" bestFit="1" customWidth="1"/>
    <col min="12" max="12" width="9.88671875" bestFit="1" customWidth="1"/>
  </cols>
  <sheetData>
    <row r="3" spans="1:11">
      <c r="A3" s="1" t="s">
        <v>12</v>
      </c>
      <c r="I3" t="s">
        <v>58</v>
      </c>
      <c r="K3" s="73">
        <v>42142</v>
      </c>
    </row>
    <row r="5" spans="1:11" ht="43.2">
      <c r="A5" s="2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3" t="s">
        <v>54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>
      <c r="A6" s="17">
        <v>42125</v>
      </c>
      <c r="B6" s="18">
        <v>565359</v>
      </c>
      <c r="C6" s="18">
        <v>8510</v>
      </c>
      <c r="D6" s="6">
        <f t="shared" ref="D6:D16" si="0">B6-C6</f>
        <v>556849</v>
      </c>
      <c r="E6" s="8">
        <f t="shared" ref="E6:E18" si="1">D6*5.45</f>
        <v>3034827</v>
      </c>
      <c r="F6" s="7">
        <v>42199</v>
      </c>
      <c r="G6" s="74"/>
      <c r="H6" s="7">
        <v>42261</v>
      </c>
      <c r="I6" s="8">
        <v>0</v>
      </c>
      <c r="J6" s="8">
        <f t="shared" ref="J6:J20" si="2">E6-I6</f>
        <v>3034827</v>
      </c>
      <c r="K6" s="16" t="s">
        <v>13</v>
      </c>
    </row>
    <row r="7" spans="1:11">
      <c r="A7" s="17">
        <v>42156</v>
      </c>
      <c r="B7" s="18">
        <v>2490045</v>
      </c>
      <c r="C7" s="18">
        <v>8556</v>
      </c>
      <c r="D7" s="6">
        <f t="shared" si="0"/>
        <v>2481489</v>
      </c>
      <c r="E7" s="8">
        <f t="shared" si="1"/>
        <v>13524115</v>
      </c>
      <c r="F7" s="7">
        <v>42199</v>
      </c>
      <c r="G7" s="74"/>
      <c r="H7" s="7">
        <v>42261</v>
      </c>
      <c r="I7" s="8">
        <v>11802013</v>
      </c>
      <c r="J7" s="8">
        <f t="shared" si="2"/>
        <v>1722102</v>
      </c>
      <c r="K7" s="9">
        <v>42269</v>
      </c>
    </row>
    <row r="8" spans="1:11">
      <c r="A8" s="17">
        <v>42186</v>
      </c>
      <c r="B8" s="18">
        <v>2844245</v>
      </c>
      <c r="C8" s="18">
        <v>11310</v>
      </c>
      <c r="D8" s="6">
        <f t="shared" si="0"/>
        <v>2832935</v>
      </c>
      <c r="E8" s="8">
        <f t="shared" si="1"/>
        <v>15439496</v>
      </c>
      <c r="F8" s="7">
        <v>42223</v>
      </c>
      <c r="G8" s="74"/>
      <c r="H8" s="19">
        <v>42284</v>
      </c>
      <c r="I8" s="20">
        <v>15439495</v>
      </c>
      <c r="J8" s="8">
        <f t="shared" si="2"/>
        <v>1</v>
      </c>
      <c r="K8" s="9">
        <v>42292</v>
      </c>
    </row>
    <row r="9" spans="1:11">
      <c r="A9" s="17">
        <v>42217</v>
      </c>
      <c r="B9" s="18">
        <v>3477765</v>
      </c>
      <c r="C9" s="18">
        <v>12546</v>
      </c>
      <c r="D9" s="6">
        <f t="shared" si="0"/>
        <v>3465219</v>
      </c>
      <c r="E9" s="8">
        <f t="shared" si="1"/>
        <v>18885444</v>
      </c>
      <c r="F9" s="7">
        <v>42254</v>
      </c>
      <c r="G9" s="74"/>
      <c r="H9" s="19">
        <v>42315</v>
      </c>
      <c r="I9" s="20">
        <v>18884294</v>
      </c>
      <c r="J9" s="8">
        <f t="shared" si="2"/>
        <v>1150</v>
      </c>
      <c r="K9" s="9">
        <v>42317</v>
      </c>
    </row>
    <row r="10" spans="1:11">
      <c r="A10" s="17">
        <v>42248</v>
      </c>
      <c r="B10" s="18">
        <v>3558763</v>
      </c>
      <c r="C10" s="18">
        <v>8258</v>
      </c>
      <c r="D10" s="6">
        <f t="shared" si="0"/>
        <v>3550505</v>
      </c>
      <c r="E10" s="8">
        <f t="shared" si="1"/>
        <v>19350252</v>
      </c>
      <c r="F10" s="7">
        <v>42284</v>
      </c>
      <c r="G10" s="74"/>
      <c r="H10" s="19">
        <v>42345</v>
      </c>
      <c r="I10" s="20">
        <v>16989852</v>
      </c>
      <c r="J10" s="8">
        <f t="shared" si="2"/>
        <v>2360400</v>
      </c>
      <c r="K10" s="9">
        <v>42374</v>
      </c>
    </row>
    <row r="11" spans="1:11">
      <c r="A11" s="17"/>
      <c r="B11" s="18"/>
      <c r="C11" s="18"/>
      <c r="D11" s="6"/>
      <c r="E11" s="8"/>
      <c r="F11" s="7"/>
      <c r="G11" s="74"/>
      <c r="H11" s="19"/>
      <c r="I11" s="8">
        <v>2329960</v>
      </c>
      <c r="J11" s="8">
        <f t="shared" si="2"/>
        <v>-2329960</v>
      </c>
      <c r="K11" s="9">
        <v>42445</v>
      </c>
    </row>
    <row r="12" spans="1:11">
      <c r="A12" s="17">
        <v>42278</v>
      </c>
      <c r="B12" s="18">
        <v>3809181</v>
      </c>
      <c r="C12" s="18">
        <v>15163</v>
      </c>
      <c r="D12" s="6">
        <f t="shared" si="0"/>
        <v>3794018</v>
      </c>
      <c r="E12" s="8">
        <f t="shared" si="1"/>
        <v>20677398</v>
      </c>
      <c r="F12" s="7">
        <v>42313</v>
      </c>
      <c r="G12" s="74"/>
      <c r="H12" s="19">
        <v>42374</v>
      </c>
      <c r="I12" s="20">
        <v>17561214</v>
      </c>
      <c r="J12" s="8">
        <f t="shared" si="2"/>
        <v>3116184</v>
      </c>
      <c r="K12" s="9">
        <v>42380</v>
      </c>
    </row>
    <row r="13" spans="1:11">
      <c r="A13" s="17"/>
      <c r="B13" s="18"/>
      <c r="C13" s="18"/>
      <c r="D13" s="6"/>
      <c r="E13" s="8"/>
      <c r="F13" s="7"/>
      <c r="G13" s="74"/>
      <c r="H13" s="19"/>
      <c r="I13" s="8">
        <v>3093236</v>
      </c>
      <c r="J13" s="8">
        <f t="shared" si="2"/>
        <v>-3093236</v>
      </c>
      <c r="K13" s="9">
        <v>42472</v>
      </c>
    </row>
    <row r="14" spans="1:11">
      <c r="A14" s="17">
        <v>42309</v>
      </c>
      <c r="B14" s="18">
        <v>2580105</v>
      </c>
      <c r="C14" s="18">
        <v>14338</v>
      </c>
      <c r="D14" s="6">
        <f t="shared" si="0"/>
        <v>2565767</v>
      </c>
      <c r="E14" s="8">
        <f t="shared" si="1"/>
        <v>13983430</v>
      </c>
      <c r="F14" s="7">
        <v>42342</v>
      </c>
      <c r="G14" s="74"/>
      <c r="H14" s="19">
        <v>42404</v>
      </c>
      <c r="I14" s="20">
        <v>13983429</v>
      </c>
      <c r="J14" s="8">
        <f t="shared" si="2"/>
        <v>1</v>
      </c>
      <c r="K14" s="9">
        <v>42403</v>
      </c>
    </row>
    <row r="15" spans="1:11">
      <c r="A15" s="17">
        <v>42339</v>
      </c>
      <c r="B15" s="18">
        <v>2976487</v>
      </c>
      <c r="C15" s="18">
        <v>16061</v>
      </c>
      <c r="D15" s="6">
        <f t="shared" si="0"/>
        <v>2960426</v>
      </c>
      <c r="E15" s="8">
        <f t="shared" si="1"/>
        <v>16134322</v>
      </c>
      <c r="F15" s="7">
        <v>42374</v>
      </c>
      <c r="G15" s="74"/>
      <c r="H15" s="19">
        <v>42434</v>
      </c>
      <c r="I15" s="20">
        <v>16134322</v>
      </c>
      <c r="J15" s="8">
        <f t="shared" si="2"/>
        <v>0</v>
      </c>
      <c r="K15" s="9">
        <v>42436</v>
      </c>
    </row>
    <row r="16" spans="1:11">
      <c r="A16" s="17">
        <v>42370</v>
      </c>
      <c r="B16" s="18">
        <v>3114149</v>
      </c>
      <c r="C16" s="18">
        <v>16571</v>
      </c>
      <c r="D16" s="6">
        <f t="shared" si="0"/>
        <v>3097578</v>
      </c>
      <c r="E16" s="8">
        <f t="shared" si="1"/>
        <v>16881800</v>
      </c>
      <c r="F16" s="7">
        <v>42405</v>
      </c>
      <c r="G16" s="74"/>
      <c r="H16" s="19">
        <v>42464</v>
      </c>
      <c r="I16" s="20">
        <v>16881804</v>
      </c>
      <c r="J16" s="8">
        <f t="shared" si="2"/>
        <v>-4</v>
      </c>
      <c r="K16" s="9">
        <v>42465</v>
      </c>
    </row>
    <row r="17" spans="1:11">
      <c r="A17" s="17">
        <v>42401</v>
      </c>
      <c r="B17" s="21">
        <v>3339045</v>
      </c>
      <c r="C17" s="21">
        <v>14080</v>
      </c>
      <c r="D17" s="6">
        <f>B17-C17</f>
        <v>3324965</v>
      </c>
      <c r="E17" s="8">
        <f t="shared" si="1"/>
        <v>18121059</v>
      </c>
      <c r="F17" s="7">
        <v>42433</v>
      </c>
      <c r="G17" s="74"/>
      <c r="H17" s="19">
        <v>42494</v>
      </c>
      <c r="I17" s="20">
        <v>18121060</v>
      </c>
      <c r="J17" s="8">
        <f t="shared" si="2"/>
        <v>-1</v>
      </c>
      <c r="K17" s="9">
        <v>42495</v>
      </c>
    </row>
    <row r="18" spans="1:11">
      <c r="A18" s="17">
        <v>42430</v>
      </c>
      <c r="B18" s="21">
        <v>3946425</v>
      </c>
      <c r="C18" s="21">
        <v>14393</v>
      </c>
      <c r="D18" s="6">
        <f>B18-C18</f>
        <v>3932032</v>
      </c>
      <c r="E18" s="8">
        <f t="shared" si="1"/>
        <v>21429574</v>
      </c>
      <c r="F18" s="7">
        <v>42464</v>
      </c>
      <c r="G18" s="74"/>
      <c r="H18" s="19">
        <f>F18+60</f>
        <v>42524</v>
      </c>
      <c r="I18" s="20">
        <f>E18</f>
        <v>21429574</v>
      </c>
      <c r="J18" s="8">
        <f t="shared" si="2"/>
        <v>0</v>
      </c>
      <c r="K18" s="9">
        <v>42528</v>
      </c>
    </row>
    <row r="19" spans="1:11">
      <c r="A19" s="17">
        <v>42461</v>
      </c>
      <c r="B19" s="21">
        <v>3988765</v>
      </c>
      <c r="C19" s="21">
        <v>14324</v>
      </c>
      <c r="D19" s="6">
        <f>ROUND(B19-C19,0)</f>
        <v>3974441</v>
      </c>
      <c r="E19" s="8">
        <f>D19*5.45</f>
        <v>21660703</v>
      </c>
      <c r="F19" s="7">
        <v>42494</v>
      </c>
      <c r="G19" s="74"/>
      <c r="H19" s="19">
        <f>F19+60</f>
        <v>42554</v>
      </c>
      <c r="I19" s="8">
        <f>E19</f>
        <v>21660703</v>
      </c>
      <c r="J19" s="8">
        <f t="shared" si="2"/>
        <v>0</v>
      </c>
      <c r="K19" s="9">
        <v>42556</v>
      </c>
    </row>
    <row r="20" spans="1:11">
      <c r="A20" s="17">
        <v>42491</v>
      </c>
      <c r="B20" s="21">
        <v>3810242</v>
      </c>
      <c r="C20" s="21">
        <v>13703</v>
      </c>
      <c r="D20" s="6">
        <f>ROUND(B20-C20,0)</f>
        <v>3796539</v>
      </c>
      <c r="E20" s="8">
        <f>D20*5.45</f>
        <v>20691138</v>
      </c>
      <c r="F20" s="7">
        <v>42527</v>
      </c>
      <c r="G20" s="74"/>
      <c r="H20" s="19">
        <f>F20+60</f>
        <v>42587</v>
      </c>
      <c r="I20" s="8">
        <v>20691138</v>
      </c>
      <c r="J20" s="8">
        <f t="shared" si="2"/>
        <v>0</v>
      </c>
      <c r="K20" s="9">
        <v>42588</v>
      </c>
    </row>
    <row r="21" spans="1:11">
      <c r="A21" s="17">
        <v>42522</v>
      </c>
      <c r="B21" s="21">
        <v>3710354</v>
      </c>
      <c r="C21" s="21">
        <v>13100</v>
      </c>
      <c r="D21" s="6">
        <f>ROUND(B21-C21,0)</f>
        <v>3697254</v>
      </c>
      <c r="E21" s="8">
        <f>D21*5.45</f>
        <v>20150034</v>
      </c>
      <c r="F21" s="7">
        <v>42557</v>
      </c>
      <c r="G21" s="74"/>
      <c r="H21" s="19">
        <f>F21+60</f>
        <v>42617</v>
      </c>
      <c r="I21" s="8">
        <v>0</v>
      </c>
      <c r="J21" s="8"/>
      <c r="K21" s="16" t="s">
        <v>13</v>
      </c>
    </row>
    <row r="22" spans="1:11">
      <c r="A22" s="17">
        <v>42552</v>
      </c>
      <c r="B22" s="21">
        <v>3765350</v>
      </c>
      <c r="C22" s="21">
        <v>14735</v>
      </c>
      <c r="D22" s="6">
        <f>ROUND(B22-C22,0)</f>
        <v>3750615</v>
      </c>
      <c r="E22" s="8">
        <f>D22*5.45</f>
        <v>20440852</v>
      </c>
      <c r="F22" s="7">
        <v>42590</v>
      </c>
      <c r="G22" s="74"/>
      <c r="H22" s="19">
        <f>F22+60</f>
        <v>42650</v>
      </c>
      <c r="I22" s="8"/>
      <c r="J22" s="8"/>
      <c r="K22" s="16" t="s">
        <v>14</v>
      </c>
    </row>
    <row r="23" spans="1:11">
      <c r="A23" s="17">
        <v>42583</v>
      </c>
      <c r="B23" s="21"/>
      <c r="C23" s="21"/>
      <c r="D23" s="6"/>
      <c r="E23" s="8"/>
      <c r="F23" s="7"/>
      <c r="G23" s="74"/>
      <c r="H23" s="19"/>
      <c r="I23" s="8"/>
      <c r="J23" s="8"/>
      <c r="K23" s="16" t="s">
        <v>57</v>
      </c>
    </row>
    <row r="24" spans="1:11">
      <c r="A24" s="2" t="s">
        <v>10</v>
      </c>
      <c r="B24" s="3">
        <f>SUM(B6:B23)</f>
        <v>47976280</v>
      </c>
      <c r="C24" s="3">
        <f>SUM(C6:C23)</f>
        <v>195648</v>
      </c>
      <c r="D24" s="3">
        <f>SUM(D6:D23)</f>
        <v>47780632</v>
      </c>
      <c r="E24" s="3">
        <f>SUM(E6:E23)</f>
        <v>260404444</v>
      </c>
      <c r="F24" s="3"/>
      <c r="G24" s="13"/>
      <c r="H24" s="3"/>
      <c r="I24" s="3">
        <f>SUM(I6:I23)</f>
        <v>215002094</v>
      </c>
      <c r="J24" s="3">
        <f>SUM(J6:J23)</f>
        <v>4811464</v>
      </c>
      <c r="K24" s="3"/>
    </row>
    <row r="25" spans="1:11">
      <c r="H25" s="22"/>
      <c r="I25" s="23"/>
      <c r="K25" s="24"/>
    </row>
    <row r="26" spans="1:11">
      <c r="A26" s="1" t="s">
        <v>15</v>
      </c>
      <c r="D26" t="s">
        <v>16</v>
      </c>
      <c r="I26" t="s">
        <v>58</v>
      </c>
      <c r="K26" s="73">
        <v>42142</v>
      </c>
    </row>
    <row r="28" spans="1:11" ht="43.2">
      <c r="A28" s="2"/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13" t="s">
        <v>54</v>
      </c>
      <c r="H28" s="3" t="s">
        <v>6</v>
      </c>
      <c r="I28" s="3" t="s">
        <v>7</v>
      </c>
      <c r="J28" s="3" t="s">
        <v>8</v>
      </c>
      <c r="K28" s="3" t="s">
        <v>9</v>
      </c>
    </row>
    <row r="29" spans="1:11">
      <c r="A29" s="17">
        <v>42125</v>
      </c>
      <c r="B29" s="18">
        <v>857366</v>
      </c>
      <c r="C29" s="18">
        <v>7751</v>
      </c>
      <c r="D29" s="6">
        <f t="shared" ref="D29:D39" si="3">B29-C29</f>
        <v>849615</v>
      </c>
      <c r="E29" s="8">
        <f t="shared" ref="E29:E41" si="4">D29*5.45</f>
        <v>4630402</v>
      </c>
      <c r="F29" s="7">
        <v>42199</v>
      </c>
      <c r="G29" s="74"/>
      <c r="H29" s="7">
        <v>42261</v>
      </c>
      <c r="I29" s="8">
        <v>0</v>
      </c>
      <c r="J29" s="8">
        <f t="shared" ref="J29:J43" si="5">E29-I29</f>
        <v>4630402</v>
      </c>
      <c r="K29" s="16" t="s">
        <v>13</v>
      </c>
    </row>
    <row r="30" spans="1:11">
      <c r="A30" s="17">
        <v>42156</v>
      </c>
      <c r="B30" s="18">
        <v>2465955</v>
      </c>
      <c r="C30" s="18">
        <v>7605</v>
      </c>
      <c r="D30" s="6">
        <f t="shared" si="3"/>
        <v>2458350</v>
      </c>
      <c r="E30" s="8">
        <f t="shared" si="4"/>
        <v>13398008</v>
      </c>
      <c r="F30" s="7">
        <v>42199</v>
      </c>
      <c r="G30" s="74"/>
      <c r="H30" s="7">
        <v>42261</v>
      </c>
      <c r="I30" s="8">
        <v>11691670</v>
      </c>
      <c r="J30" s="8">
        <f t="shared" si="5"/>
        <v>1706338</v>
      </c>
      <c r="K30" s="9">
        <v>42269</v>
      </c>
    </row>
    <row r="31" spans="1:11">
      <c r="A31" s="17">
        <v>42186</v>
      </c>
      <c r="B31" s="18">
        <v>2971429</v>
      </c>
      <c r="C31" s="18">
        <v>13073</v>
      </c>
      <c r="D31" s="6">
        <f t="shared" si="3"/>
        <v>2958356</v>
      </c>
      <c r="E31" s="8">
        <f t="shared" si="4"/>
        <v>16123040</v>
      </c>
      <c r="F31" s="7">
        <v>42223</v>
      </c>
      <c r="G31" s="74"/>
      <c r="H31" s="19">
        <v>42284</v>
      </c>
      <c r="I31" s="20">
        <v>16123041</v>
      </c>
      <c r="J31" s="8">
        <f t="shared" si="5"/>
        <v>-1</v>
      </c>
      <c r="K31" s="10">
        <v>42292</v>
      </c>
    </row>
    <row r="32" spans="1:11">
      <c r="A32" s="17">
        <v>42217</v>
      </c>
      <c r="B32" s="18">
        <v>3595986</v>
      </c>
      <c r="C32" s="18">
        <v>14187</v>
      </c>
      <c r="D32" s="6">
        <f t="shared" si="3"/>
        <v>3581799</v>
      </c>
      <c r="E32" s="8">
        <f t="shared" si="4"/>
        <v>19520805</v>
      </c>
      <c r="F32" s="7">
        <v>42254</v>
      </c>
      <c r="G32" s="74"/>
      <c r="H32" s="19">
        <v>42315</v>
      </c>
      <c r="I32" s="20">
        <v>19519613</v>
      </c>
      <c r="J32" s="8">
        <f t="shared" si="5"/>
        <v>1192</v>
      </c>
      <c r="K32" s="10">
        <v>42338</v>
      </c>
    </row>
    <row r="33" spans="1:11">
      <c r="A33" s="17">
        <v>42248</v>
      </c>
      <c r="B33" s="18">
        <v>3464911</v>
      </c>
      <c r="C33" s="18">
        <v>8842</v>
      </c>
      <c r="D33" s="6">
        <f t="shared" si="3"/>
        <v>3456069</v>
      </c>
      <c r="E33" s="8">
        <f t="shared" si="4"/>
        <v>18835576</v>
      </c>
      <c r="F33" s="7">
        <v>42284</v>
      </c>
      <c r="G33" s="74"/>
      <c r="H33" s="19">
        <v>42345</v>
      </c>
      <c r="I33" s="20">
        <v>16989852</v>
      </c>
      <c r="J33" s="8">
        <f t="shared" si="5"/>
        <v>1845724</v>
      </c>
      <c r="K33" s="9">
        <v>42374</v>
      </c>
    </row>
    <row r="34" spans="1:11">
      <c r="A34" s="17"/>
      <c r="B34" s="18"/>
      <c r="C34" s="18"/>
      <c r="D34" s="6"/>
      <c r="E34" s="8"/>
      <c r="F34" s="7"/>
      <c r="G34" s="74"/>
      <c r="H34" s="19"/>
      <c r="I34" s="8">
        <v>1815332</v>
      </c>
      <c r="J34" s="8">
        <f t="shared" si="5"/>
        <v>-1815332</v>
      </c>
      <c r="K34" s="9">
        <v>42445</v>
      </c>
    </row>
    <row r="35" spans="1:11">
      <c r="A35" s="17">
        <v>42278</v>
      </c>
      <c r="B35" s="18">
        <v>3810506</v>
      </c>
      <c r="C35" s="18">
        <v>16050</v>
      </c>
      <c r="D35" s="6">
        <f t="shared" si="3"/>
        <v>3794456</v>
      </c>
      <c r="E35" s="8">
        <f t="shared" si="4"/>
        <v>20679785</v>
      </c>
      <c r="F35" s="7">
        <v>42313</v>
      </c>
      <c r="G35" s="74"/>
      <c r="H35" s="19">
        <v>42374</v>
      </c>
      <c r="I35" s="20">
        <v>17561191</v>
      </c>
      <c r="J35" s="8">
        <f t="shared" si="5"/>
        <v>3118594</v>
      </c>
      <c r="K35" s="9">
        <v>42381</v>
      </c>
    </row>
    <row r="36" spans="1:11">
      <c r="A36" s="17"/>
      <c r="B36" s="18"/>
      <c r="C36" s="18"/>
      <c r="D36" s="6"/>
      <c r="E36" s="8"/>
      <c r="F36" s="7"/>
      <c r="G36" s="74"/>
      <c r="H36" s="19"/>
      <c r="I36" s="6">
        <v>3118596</v>
      </c>
      <c r="J36" s="8">
        <f t="shared" si="5"/>
        <v>-3118596</v>
      </c>
      <c r="K36" s="9">
        <v>42472</v>
      </c>
    </row>
    <row r="37" spans="1:11">
      <c r="A37" s="17">
        <v>42309</v>
      </c>
      <c r="B37" s="18">
        <v>2808670</v>
      </c>
      <c r="C37" s="18">
        <v>16943</v>
      </c>
      <c r="D37" s="6">
        <f t="shared" si="3"/>
        <v>2791727</v>
      </c>
      <c r="E37" s="8">
        <f t="shared" si="4"/>
        <v>15214912</v>
      </c>
      <c r="F37" s="7">
        <v>42342</v>
      </c>
      <c r="G37" s="74"/>
      <c r="H37" s="19">
        <v>42404</v>
      </c>
      <c r="I37" s="20">
        <v>15214912</v>
      </c>
      <c r="J37" s="8">
        <f t="shared" si="5"/>
        <v>0</v>
      </c>
      <c r="K37" s="9">
        <v>42409</v>
      </c>
    </row>
    <row r="38" spans="1:11">
      <c r="A38" s="17">
        <v>42339</v>
      </c>
      <c r="B38" s="18">
        <v>3158393</v>
      </c>
      <c r="C38" s="18">
        <v>17982</v>
      </c>
      <c r="D38" s="6">
        <f t="shared" si="3"/>
        <v>3140411</v>
      </c>
      <c r="E38" s="8">
        <f t="shared" si="4"/>
        <v>17115240</v>
      </c>
      <c r="F38" s="7">
        <v>42374</v>
      </c>
      <c r="G38" s="74"/>
      <c r="H38" s="19">
        <v>42434</v>
      </c>
      <c r="I38" s="20">
        <v>17115240</v>
      </c>
      <c r="J38" s="8">
        <f t="shared" si="5"/>
        <v>0</v>
      </c>
      <c r="K38" s="9">
        <v>42437</v>
      </c>
    </row>
    <row r="39" spans="1:11">
      <c r="A39" s="17">
        <v>42370</v>
      </c>
      <c r="B39" s="18">
        <v>3125492</v>
      </c>
      <c r="C39" s="18">
        <v>17758</v>
      </c>
      <c r="D39" s="6">
        <f t="shared" si="3"/>
        <v>3107734</v>
      </c>
      <c r="E39" s="8">
        <f t="shared" si="4"/>
        <v>16937150</v>
      </c>
      <c r="F39" s="7">
        <v>42405</v>
      </c>
      <c r="G39" s="74"/>
      <c r="H39" s="19">
        <v>42464</v>
      </c>
      <c r="I39" s="20">
        <v>16914709</v>
      </c>
      <c r="J39" s="8">
        <f t="shared" si="5"/>
        <v>22441</v>
      </c>
      <c r="K39" s="9">
        <v>42467</v>
      </c>
    </row>
    <row r="40" spans="1:11">
      <c r="A40" s="17">
        <v>42401</v>
      </c>
      <c r="B40" s="21">
        <v>3466898</v>
      </c>
      <c r="C40" s="21">
        <v>15912</v>
      </c>
      <c r="D40" s="6">
        <f>B40-C40</f>
        <v>3450986</v>
      </c>
      <c r="E40" s="8">
        <f t="shared" si="4"/>
        <v>18807874</v>
      </c>
      <c r="F40" s="7">
        <v>42433</v>
      </c>
      <c r="G40" s="74"/>
      <c r="H40" s="19">
        <v>42494</v>
      </c>
      <c r="I40" s="20">
        <v>18807877</v>
      </c>
      <c r="J40" s="8">
        <f t="shared" si="5"/>
        <v>-3</v>
      </c>
      <c r="K40" s="9">
        <v>42496</v>
      </c>
    </row>
    <row r="41" spans="1:11">
      <c r="A41" s="17">
        <v>42430</v>
      </c>
      <c r="B41" s="21">
        <v>3827718</v>
      </c>
      <c r="C41" s="21">
        <v>16462</v>
      </c>
      <c r="D41" s="6">
        <f>B41-C41</f>
        <v>3811256</v>
      </c>
      <c r="E41" s="8">
        <f t="shared" si="4"/>
        <v>20771345</v>
      </c>
      <c r="F41" s="7">
        <v>42464</v>
      </c>
      <c r="G41" s="74"/>
      <c r="H41" s="19">
        <f>F41+60</f>
        <v>42524</v>
      </c>
      <c r="I41" s="20">
        <f>E41</f>
        <v>20771345</v>
      </c>
      <c r="J41" s="8">
        <f t="shared" si="5"/>
        <v>0</v>
      </c>
      <c r="K41" s="9">
        <v>42528</v>
      </c>
    </row>
    <row r="42" spans="1:11">
      <c r="A42" s="17">
        <v>42461</v>
      </c>
      <c r="B42" s="21">
        <v>3876382</v>
      </c>
      <c r="C42" s="21">
        <v>15219</v>
      </c>
      <c r="D42" s="6">
        <f>ROUND(B42-C42,0)</f>
        <v>3861163</v>
      </c>
      <c r="E42" s="8">
        <f>D42*5.45</f>
        <v>21043338</v>
      </c>
      <c r="F42" s="7">
        <v>42494</v>
      </c>
      <c r="G42" s="74"/>
      <c r="H42" s="19">
        <f>F42+60</f>
        <v>42554</v>
      </c>
      <c r="I42" s="6">
        <f>E42</f>
        <v>21043338</v>
      </c>
      <c r="J42" s="25">
        <f t="shared" si="5"/>
        <v>0</v>
      </c>
      <c r="K42" s="9">
        <v>42556</v>
      </c>
    </row>
    <row r="43" spans="1:11">
      <c r="A43" s="17">
        <v>42491</v>
      </c>
      <c r="B43" s="21">
        <v>3776121</v>
      </c>
      <c r="C43" s="21">
        <v>14258</v>
      </c>
      <c r="D43" s="6">
        <f>ROUND(B43-C43,0)</f>
        <v>3761863</v>
      </c>
      <c r="E43" s="8">
        <f>D43*5.45</f>
        <v>20502153</v>
      </c>
      <c r="F43" s="7">
        <v>42527</v>
      </c>
      <c r="G43" s="74"/>
      <c r="H43" s="19">
        <f>F43+60</f>
        <v>42587</v>
      </c>
      <c r="I43" s="6">
        <v>20502153</v>
      </c>
      <c r="J43" s="25">
        <f t="shared" si="5"/>
        <v>0</v>
      </c>
      <c r="K43" s="9">
        <v>42588</v>
      </c>
    </row>
    <row r="44" spans="1:11">
      <c r="A44" s="17">
        <v>42522</v>
      </c>
      <c r="B44" s="21">
        <v>3671572</v>
      </c>
      <c r="C44" s="21">
        <v>13667</v>
      </c>
      <c r="D44" s="6">
        <f>ROUND(B44-C44,0)</f>
        <v>3657905</v>
      </c>
      <c r="E44" s="8">
        <f>D44*5.45</f>
        <v>19935582</v>
      </c>
      <c r="F44" s="7">
        <v>42557</v>
      </c>
      <c r="G44" s="74"/>
      <c r="H44" s="19">
        <f>F44+60</f>
        <v>42617</v>
      </c>
      <c r="I44" s="6">
        <v>0</v>
      </c>
      <c r="J44" s="25"/>
      <c r="K44" s="16" t="s">
        <v>13</v>
      </c>
    </row>
    <row r="45" spans="1:11">
      <c r="A45" s="17">
        <v>42552</v>
      </c>
      <c r="B45" s="21">
        <v>3668990</v>
      </c>
      <c r="C45" s="21">
        <v>14203</v>
      </c>
      <c r="D45" s="6">
        <f>ROUND(B45-C45,0)</f>
        <v>3654787</v>
      </c>
      <c r="E45" s="8">
        <f>D45*5.45</f>
        <v>19918589</v>
      </c>
      <c r="F45" s="7">
        <v>42590</v>
      </c>
      <c r="G45" s="74"/>
      <c r="H45" s="19">
        <f>F45+60</f>
        <v>42650</v>
      </c>
      <c r="I45" s="6"/>
      <c r="J45" s="25"/>
      <c r="K45" s="16" t="s">
        <v>14</v>
      </c>
    </row>
    <row r="46" spans="1:11">
      <c r="A46" s="17">
        <v>42583</v>
      </c>
      <c r="B46" s="21"/>
      <c r="C46" s="21"/>
      <c r="D46" s="6"/>
      <c r="E46" s="8"/>
      <c r="F46" s="7"/>
      <c r="G46" s="74"/>
      <c r="H46" s="19"/>
      <c r="I46" s="6"/>
      <c r="J46" s="25"/>
      <c r="K46" s="16" t="s">
        <v>57</v>
      </c>
    </row>
    <row r="47" spans="1:11">
      <c r="A47" s="2" t="s">
        <v>10</v>
      </c>
      <c r="B47" s="3">
        <f>SUM(B29:B46)</f>
        <v>48546389</v>
      </c>
      <c r="C47" s="3">
        <f>SUM(C29:C46)</f>
        <v>209912</v>
      </c>
      <c r="D47" s="3">
        <f>SUM(D29:D46)</f>
        <v>48336477</v>
      </c>
      <c r="E47" s="3">
        <f>SUM(E29:E46)</f>
        <v>263433799</v>
      </c>
      <c r="F47" s="3"/>
      <c r="G47" s="13"/>
      <c r="H47" s="3"/>
      <c r="I47" s="3">
        <f>SUM(I29:I46)</f>
        <v>217188869</v>
      </c>
      <c r="J47" s="3">
        <f>SUM(J29:J46)</f>
        <v>6390759</v>
      </c>
      <c r="K47" s="3"/>
    </row>
    <row r="48" spans="1:11">
      <c r="H48" s="22"/>
      <c r="I48" s="23"/>
      <c r="K48" s="24"/>
    </row>
    <row r="49" spans="1:11">
      <c r="A49" s="1" t="s">
        <v>17</v>
      </c>
      <c r="I49" t="s">
        <v>58</v>
      </c>
      <c r="K49" s="73">
        <v>42144</v>
      </c>
    </row>
    <row r="51" spans="1:11" ht="43.2">
      <c r="A51" s="2"/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13" t="s">
        <v>54</v>
      </c>
      <c r="H51" s="3" t="s">
        <v>6</v>
      </c>
      <c r="I51" s="3" t="s">
        <v>7</v>
      </c>
      <c r="J51" s="3" t="s">
        <v>8</v>
      </c>
      <c r="K51" s="3" t="s">
        <v>9</v>
      </c>
    </row>
    <row r="52" spans="1:11">
      <c r="A52" s="17">
        <v>42125</v>
      </c>
      <c r="B52" s="18">
        <v>297723</v>
      </c>
      <c r="C52" s="18">
        <v>4827</v>
      </c>
      <c r="D52" s="6">
        <f t="shared" ref="D52:D63" si="6">B52-C52</f>
        <v>292896</v>
      </c>
      <c r="E52" s="8">
        <f t="shared" ref="E52:E65" si="7">D52*5.45</f>
        <v>1596283</v>
      </c>
      <c r="F52" s="7">
        <v>42199</v>
      </c>
      <c r="G52" s="74"/>
      <c r="H52" s="7">
        <v>42261</v>
      </c>
      <c r="I52" s="8">
        <v>0</v>
      </c>
      <c r="J52" s="8">
        <f t="shared" ref="J52:J67" si="8">E52-I52</f>
        <v>1596283</v>
      </c>
      <c r="K52" s="16" t="s">
        <v>13</v>
      </c>
    </row>
    <row r="53" spans="1:11">
      <c r="A53" s="17">
        <v>42156</v>
      </c>
      <c r="B53" s="18">
        <v>2220047</v>
      </c>
      <c r="C53" s="18">
        <v>8690</v>
      </c>
      <c r="D53" s="6">
        <f t="shared" si="6"/>
        <v>2211357</v>
      </c>
      <c r="E53" s="8">
        <f t="shared" si="7"/>
        <v>12051896</v>
      </c>
      <c r="F53" s="7">
        <v>42199</v>
      </c>
      <c r="G53" s="74"/>
      <c r="H53" s="7">
        <v>42261</v>
      </c>
      <c r="I53" s="8">
        <v>10413387</v>
      </c>
      <c r="J53" s="8">
        <f t="shared" si="8"/>
        <v>1638509</v>
      </c>
      <c r="K53" s="10">
        <v>42283</v>
      </c>
    </row>
    <row r="54" spans="1:11">
      <c r="A54" s="17"/>
      <c r="B54" s="18"/>
      <c r="C54" s="18"/>
      <c r="D54" s="6"/>
      <c r="E54" s="8"/>
      <c r="F54" s="7"/>
      <c r="G54" s="74"/>
      <c r="H54" s="7"/>
      <c r="I54" s="6">
        <v>83423</v>
      </c>
      <c r="J54" s="8">
        <f t="shared" si="8"/>
        <v>-83423</v>
      </c>
      <c r="K54" s="9">
        <v>42486</v>
      </c>
    </row>
    <row r="55" spans="1:11">
      <c r="A55" s="17">
        <v>42186</v>
      </c>
      <c r="B55" s="18">
        <v>2593929</v>
      </c>
      <c r="C55" s="18">
        <v>14649</v>
      </c>
      <c r="D55" s="6">
        <f t="shared" si="6"/>
        <v>2579280</v>
      </c>
      <c r="E55" s="8">
        <f t="shared" si="7"/>
        <v>14057076</v>
      </c>
      <c r="F55" s="7">
        <v>42223</v>
      </c>
      <c r="G55" s="74"/>
      <c r="H55" s="19">
        <v>42284</v>
      </c>
      <c r="I55" s="20">
        <f>E55</f>
        <v>14057076</v>
      </c>
      <c r="J55" s="8">
        <f t="shared" si="8"/>
        <v>0</v>
      </c>
      <c r="K55" s="10">
        <v>42306</v>
      </c>
    </row>
    <row r="56" spans="1:11">
      <c r="A56" s="17">
        <v>42217</v>
      </c>
      <c r="B56" s="18">
        <v>3452775</v>
      </c>
      <c r="C56" s="18">
        <v>15980</v>
      </c>
      <c r="D56" s="6">
        <f t="shared" si="6"/>
        <v>3436795</v>
      </c>
      <c r="E56" s="8">
        <f t="shared" si="7"/>
        <v>18730533</v>
      </c>
      <c r="F56" s="7">
        <v>42254</v>
      </c>
      <c r="G56" s="74"/>
      <c r="H56" s="19">
        <v>42315</v>
      </c>
      <c r="I56" s="20">
        <v>18729383</v>
      </c>
      <c r="J56" s="8">
        <f t="shared" si="8"/>
        <v>1150</v>
      </c>
      <c r="K56" s="10">
        <v>42332</v>
      </c>
    </row>
    <row r="57" spans="1:11">
      <c r="A57" s="17">
        <v>42248</v>
      </c>
      <c r="B57" s="18">
        <v>3433552</v>
      </c>
      <c r="C57" s="18">
        <v>9238</v>
      </c>
      <c r="D57" s="6">
        <f t="shared" si="6"/>
        <v>3424314</v>
      </c>
      <c r="E57" s="8">
        <f t="shared" si="7"/>
        <v>18662511</v>
      </c>
      <c r="F57" s="7">
        <v>42284</v>
      </c>
      <c r="G57" s="74"/>
      <c r="H57" s="19">
        <v>42345</v>
      </c>
      <c r="I57" s="20">
        <v>16989852</v>
      </c>
      <c r="J57" s="8">
        <f t="shared" si="8"/>
        <v>1672659</v>
      </c>
      <c r="K57" s="9">
        <v>42374</v>
      </c>
    </row>
    <row r="58" spans="1:11">
      <c r="A58" s="17"/>
      <c r="B58" s="18"/>
      <c r="C58" s="18"/>
      <c r="D58" s="6"/>
      <c r="E58" s="8"/>
      <c r="F58" s="7"/>
      <c r="G58" s="74"/>
      <c r="H58" s="19"/>
      <c r="I58" s="8">
        <v>1642220</v>
      </c>
      <c r="J58" s="8">
        <f t="shared" si="8"/>
        <v>-1642220</v>
      </c>
      <c r="K58" s="9">
        <v>42445</v>
      </c>
    </row>
    <row r="59" spans="1:11">
      <c r="A59" s="17">
        <v>42278</v>
      </c>
      <c r="B59" s="18">
        <v>3853340</v>
      </c>
      <c r="C59" s="18">
        <v>17531</v>
      </c>
      <c r="D59" s="6">
        <f t="shared" si="6"/>
        <v>3835809</v>
      </c>
      <c r="E59" s="8">
        <f t="shared" si="7"/>
        <v>20905159</v>
      </c>
      <c r="F59" s="7">
        <v>42313</v>
      </c>
      <c r="G59" s="74"/>
      <c r="H59" s="19">
        <v>42374</v>
      </c>
      <c r="I59" s="20">
        <v>17588829</v>
      </c>
      <c r="J59" s="8">
        <f t="shared" si="8"/>
        <v>3316330</v>
      </c>
      <c r="K59" s="9">
        <v>42394</v>
      </c>
    </row>
    <row r="60" spans="1:11">
      <c r="A60" s="17"/>
      <c r="B60" s="18"/>
      <c r="C60" s="18"/>
      <c r="D60" s="6"/>
      <c r="E60" s="8"/>
      <c r="F60" s="7"/>
      <c r="G60" s="74"/>
      <c r="H60" s="19"/>
      <c r="I60" s="8">
        <v>3316331</v>
      </c>
      <c r="J60" s="8">
        <f t="shared" si="8"/>
        <v>-3316331</v>
      </c>
      <c r="K60" s="9">
        <v>42472</v>
      </c>
    </row>
    <row r="61" spans="1:11">
      <c r="A61" s="17">
        <v>42309</v>
      </c>
      <c r="B61" s="18">
        <v>2785259</v>
      </c>
      <c r="C61" s="18">
        <v>18125</v>
      </c>
      <c r="D61" s="6">
        <f t="shared" si="6"/>
        <v>2767134</v>
      </c>
      <c r="E61" s="8">
        <f t="shared" si="7"/>
        <v>15080880</v>
      </c>
      <c r="F61" s="7">
        <v>42342</v>
      </c>
      <c r="G61" s="74"/>
      <c r="H61" s="19">
        <v>42404</v>
      </c>
      <c r="I61" s="20">
        <v>15080882</v>
      </c>
      <c r="J61" s="8">
        <f t="shared" si="8"/>
        <v>-2</v>
      </c>
      <c r="K61" s="9">
        <v>42412</v>
      </c>
    </row>
    <row r="62" spans="1:11">
      <c r="A62" s="17">
        <v>42339</v>
      </c>
      <c r="B62" s="18">
        <v>3155149</v>
      </c>
      <c r="C62" s="18">
        <v>19153</v>
      </c>
      <c r="D62" s="6">
        <f t="shared" si="6"/>
        <v>3135996</v>
      </c>
      <c r="E62" s="8">
        <f t="shared" si="7"/>
        <v>17091178</v>
      </c>
      <c r="F62" s="7">
        <v>42374</v>
      </c>
      <c r="G62" s="74"/>
      <c r="H62" s="19">
        <v>42434</v>
      </c>
      <c r="I62" s="20">
        <v>17091179</v>
      </c>
      <c r="J62" s="8">
        <f t="shared" si="8"/>
        <v>-1</v>
      </c>
      <c r="K62" s="9">
        <v>42458</v>
      </c>
    </row>
    <row r="63" spans="1:11">
      <c r="A63" s="17">
        <v>42370</v>
      </c>
      <c r="B63" s="18">
        <v>3173257</v>
      </c>
      <c r="C63" s="18">
        <v>19818</v>
      </c>
      <c r="D63" s="6">
        <f t="shared" si="6"/>
        <v>3153439</v>
      </c>
      <c r="E63" s="8">
        <f t="shared" si="7"/>
        <v>17186243</v>
      </c>
      <c r="F63" s="7">
        <v>42405</v>
      </c>
      <c r="G63" s="74"/>
      <c r="H63" s="19">
        <v>42464</v>
      </c>
      <c r="I63" s="20">
        <v>17186237</v>
      </c>
      <c r="J63" s="8">
        <f t="shared" si="8"/>
        <v>6</v>
      </c>
      <c r="K63" s="9">
        <v>42467</v>
      </c>
    </row>
    <row r="64" spans="1:11">
      <c r="A64" s="17">
        <v>42401</v>
      </c>
      <c r="B64" s="21">
        <v>3452069</v>
      </c>
      <c r="C64" s="21">
        <v>16921</v>
      </c>
      <c r="D64" s="6">
        <f>B64-C64</f>
        <v>3435148</v>
      </c>
      <c r="E64" s="8">
        <f t="shared" si="7"/>
        <v>18721557</v>
      </c>
      <c r="F64" s="7">
        <v>42433</v>
      </c>
      <c r="G64" s="74"/>
      <c r="H64" s="19">
        <v>42494</v>
      </c>
      <c r="I64" s="20">
        <v>18721556</v>
      </c>
      <c r="J64" s="8">
        <f t="shared" si="8"/>
        <v>1</v>
      </c>
      <c r="K64" s="9">
        <v>42496</v>
      </c>
    </row>
    <row r="65" spans="1:11">
      <c r="A65" s="17">
        <v>42430</v>
      </c>
      <c r="B65" s="21">
        <v>4003236</v>
      </c>
      <c r="C65" s="26">
        <v>17782</v>
      </c>
      <c r="D65" s="6">
        <f>B65-C65</f>
        <v>3985454</v>
      </c>
      <c r="E65" s="8">
        <f t="shared" si="7"/>
        <v>21720724</v>
      </c>
      <c r="F65" s="7">
        <v>42464</v>
      </c>
      <c r="G65" s="74"/>
      <c r="H65" s="19">
        <f>F65+60</f>
        <v>42524</v>
      </c>
      <c r="I65" s="20">
        <f>E65</f>
        <v>21720724</v>
      </c>
      <c r="J65" s="8">
        <f t="shared" si="8"/>
        <v>0</v>
      </c>
      <c r="K65" s="9">
        <v>42528</v>
      </c>
    </row>
    <row r="66" spans="1:11">
      <c r="A66" s="17">
        <v>42461</v>
      </c>
      <c r="B66" s="21">
        <v>4089995</v>
      </c>
      <c r="C66" s="21">
        <v>16203</v>
      </c>
      <c r="D66" s="6">
        <f>ROUND(B66-C66,0)</f>
        <v>4073792</v>
      </c>
      <c r="E66" s="8">
        <f>D66*5.45</f>
        <v>22202166</v>
      </c>
      <c r="F66" s="7">
        <v>42494</v>
      </c>
      <c r="G66" s="74"/>
      <c r="H66" s="19">
        <f>F66+60</f>
        <v>42554</v>
      </c>
      <c r="I66" s="6">
        <f>E66</f>
        <v>22202166</v>
      </c>
      <c r="J66" s="25">
        <f t="shared" si="8"/>
        <v>0</v>
      </c>
      <c r="K66" s="9">
        <v>42556</v>
      </c>
    </row>
    <row r="67" spans="1:11">
      <c r="A67" s="17">
        <v>42491</v>
      </c>
      <c r="B67" s="21">
        <v>3881957</v>
      </c>
      <c r="C67" s="21">
        <v>15101</v>
      </c>
      <c r="D67" s="6">
        <f>ROUND(B67-C67,0)</f>
        <v>3866856</v>
      </c>
      <c r="E67" s="8">
        <f>D67*5.45</f>
        <v>21074365</v>
      </c>
      <c r="F67" s="7">
        <v>42527</v>
      </c>
      <c r="G67" s="74"/>
      <c r="H67" s="19">
        <f>F67+60</f>
        <v>42587</v>
      </c>
      <c r="I67" s="6">
        <v>21074365</v>
      </c>
      <c r="J67" s="25">
        <f t="shared" si="8"/>
        <v>0</v>
      </c>
      <c r="K67" s="9">
        <v>42588</v>
      </c>
    </row>
    <row r="68" spans="1:11">
      <c r="A68" s="17">
        <v>42522</v>
      </c>
      <c r="B68" s="21">
        <v>3843964</v>
      </c>
      <c r="C68" s="21">
        <v>14482</v>
      </c>
      <c r="D68" s="6">
        <f>ROUND(B68-C68,0)</f>
        <v>3829482</v>
      </c>
      <c r="E68" s="8">
        <f>D68*5.45</f>
        <v>20870677</v>
      </c>
      <c r="F68" s="7">
        <v>42557</v>
      </c>
      <c r="G68" s="74"/>
      <c r="H68" s="19">
        <f>F68+60</f>
        <v>42617</v>
      </c>
      <c r="I68" s="6">
        <v>0</v>
      </c>
      <c r="J68" s="8"/>
      <c r="K68" s="16" t="s">
        <v>13</v>
      </c>
    </row>
    <row r="69" spans="1:11">
      <c r="A69" s="17">
        <v>42552</v>
      </c>
      <c r="B69" s="21">
        <v>3841037</v>
      </c>
      <c r="C69" s="21">
        <v>15712</v>
      </c>
      <c r="D69" s="6">
        <f>ROUND(B69-C69,0)</f>
        <v>3825325</v>
      </c>
      <c r="E69" s="8">
        <f>D69*5.45</f>
        <v>20848021</v>
      </c>
      <c r="F69" s="7">
        <v>42590</v>
      </c>
      <c r="G69" s="74"/>
      <c r="H69" s="19">
        <f>F69+60</f>
        <v>42650</v>
      </c>
      <c r="I69" s="6"/>
      <c r="J69" s="8"/>
      <c r="K69" s="16" t="s">
        <v>14</v>
      </c>
    </row>
    <row r="70" spans="1:11">
      <c r="A70" s="17">
        <v>42583</v>
      </c>
      <c r="B70" s="21"/>
      <c r="C70" s="21"/>
      <c r="D70" s="6"/>
      <c r="E70" s="8"/>
      <c r="F70" s="7"/>
      <c r="G70" s="74"/>
      <c r="H70" s="19"/>
      <c r="I70" s="6"/>
      <c r="J70" s="8"/>
      <c r="K70" s="16" t="s">
        <v>57</v>
      </c>
    </row>
    <row r="71" spans="1:11">
      <c r="A71" s="2" t="s">
        <v>10</v>
      </c>
      <c r="B71" s="3">
        <f>SUM(B52:B70)</f>
        <v>48077289</v>
      </c>
      <c r="C71" s="3">
        <f>SUM(C52:C70)</f>
        <v>224212</v>
      </c>
      <c r="D71" s="3">
        <f>SUM(D52:D70)</f>
        <v>47853077</v>
      </c>
      <c r="E71" s="3">
        <f>SUM(E52:E70)</f>
        <v>260799269</v>
      </c>
      <c r="F71" s="3"/>
      <c r="G71" s="13"/>
      <c r="H71" s="3"/>
      <c r="I71" s="3">
        <f>SUM(I52:I70)</f>
        <v>215897610</v>
      </c>
      <c r="J71" s="3">
        <f>SUM(J52:J70)</f>
        <v>3182961</v>
      </c>
      <c r="K71" s="3"/>
    </row>
    <row r="72" spans="1:11">
      <c r="H72" s="22"/>
      <c r="I72" s="23"/>
    </row>
    <row r="73" spans="1:11">
      <c r="A73" s="1" t="s">
        <v>18</v>
      </c>
      <c r="I73" t="s">
        <v>58</v>
      </c>
      <c r="K73" s="73">
        <v>42144</v>
      </c>
    </row>
    <row r="75" spans="1:11" ht="43.2">
      <c r="A75" s="2"/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13" t="s">
        <v>54</v>
      </c>
      <c r="H75" s="3" t="s">
        <v>6</v>
      </c>
      <c r="I75" s="3" t="s">
        <v>7</v>
      </c>
      <c r="J75" s="3" t="s">
        <v>8</v>
      </c>
      <c r="K75" s="3" t="s">
        <v>9</v>
      </c>
    </row>
    <row r="76" spans="1:11">
      <c r="A76" s="17">
        <v>42125</v>
      </c>
      <c r="B76" s="26">
        <v>560031</v>
      </c>
      <c r="C76" s="28">
        <v>7619</v>
      </c>
      <c r="D76" s="29">
        <f t="shared" ref="D76:D88" si="9">B76-C76</f>
        <v>552412</v>
      </c>
      <c r="E76" s="30">
        <f t="shared" ref="E76:E88" si="10">D76*5.45</f>
        <v>3010645</v>
      </c>
      <c r="F76" s="7">
        <v>42199</v>
      </c>
      <c r="G76" s="74"/>
      <c r="H76" s="7">
        <v>42261</v>
      </c>
      <c r="I76" s="8">
        <v>0</v>
      </c>
      <c r="J76" s="8">
        <f t="shared" ref="J76:J90" si="11">E76-I76</f>
        <v>3010645</v>
      </c>
      <c r="K76" s="16" t="s">
        <v>13</v>
      </c>
    </row>
    <row r="77" spans="1:11">
      <c r="A77" s="17">
        <v>42156</v>
      </c>
      <c r="B77" s="28">
        <v>2242454</v>
      </c>
      <c r="C77" s="28">
        <v>9299</v>
      </c>
      <c r="D77" s="29">
        <f t="shared" si="9"/>
        <v>2233155</v>
      </c>
      <c r="E77" s="30">
        <f t="shared" si="10"/>
        <v>12170695</v>
      </c>
      <c r="F77" s="7">
        <v>42199</v>
      </c>
      <c r="G77" s="74"/>
      <c r="H77" s="7">
        <v>42261</v>
      </c>
      <c r="I77" s="8">
        <v>12139106</v>
      </c>
      <c r="J77" s="8">
        <f t="shared" si="11"/>
        <v>31589</v>
      </c>
      <c r="K77" s="9">
        <v>42263</v>
      </c>
    </row>
    <row r="78" spans="1:11">
      <c r="A78" s="17">
        <v>42186</v>
      </c>
      <c r="B78" s="26">
        <v>2918066</v>
      </c>
      <c r="C78" s="26">
        <v>14152</v>
      </c>
      <c r="D78" s="29">
        <f t="shared" si="9"/>
        <v>2903914</v>
      </c>
      <c r="E78" s="30">
        <f t="shared" si="10"/>
        <v>15826331</v>
      </c>
      <c r="F78" s="7">
        <v>42223</v>
      </c>
      <c r="G78" s="74"/>
      <c r="H78" s="19">
        <v>42284</v>
      </c>
      <c r="I78" s="20">
        <f>10000000+5826326</f>
        <v>15826326</v>
      </c>
      <c r="J78" s="8">
        <f t="shared" si="11"/>
        <v>5</v>
      </c>
      <c r="K78" s="9">
        <v>42284</v>
      </c>
    </row>
    <row r="79" spans="1:11">
      <c r="A79" s="17">
        <v>42217</v>
      </c>
      <c r="B79" s="28">
        <v>3508574</v>
      </c>
      <c r="C79" s="28">
        <v>15706</v>
      </c>
      <c r="D79" s="29">
        <f t="shared" si="9"/>
        <v>3492868</v>
      </c>
      <c r="E79" s="30">
        <f t="shared" si="10"/>
        <v>19036131</v>
      </c>
      <c r="F79" s="7">
        <v>42254</v>
      </c>
      <c r="G79" s="74"/>
      <c r="H79" s="19">
        <v>42315</v>
      </c>
      <c r="I79" s="20">
        <f>17750865+1284101</f>
        <v>19034966</v>
      </c>
      <c r="J79" s="8">
        <f t="shared" si="11"/>
        <v>1165</v>
      </c>
      <c r="K79" s="9">
        <v>42317</v>
      </c>
    </row>
    <row r="80" spans="1:11">
      <c r="A80" s="17">
        <v>42248</v>
      </c>
      <c r="B80" s="18">
        <v>3406570</v>
      </c>
      <c r="C80" s="18">
        <v>9802</v>
      </c>
      <c r="D80" s="29">
        <f t="shared" si="9"/>
        <v>3396768</v>
      </c>
      <c r="E80" s="30">
        <f t="shared" si="10"/>
        <v>18512386</v>
      </c>
      <c r="F80" s="7">
        <v>42284</v>
      </c>
      <c r="G80" s="74"/>
      <c r="H80" s="19">
        <v>42345</v>
      </c>
      <c r="I80" s="20">
        <v>16989852</v>
      </c>
      <c r="J80" s="8">
        <f t="shared" si="11"/>
        <v>1522534</v>
      </c>
      <c r="K80" s="9">
        <v>42374</v>
      </c>
    </row>
    <row r="81" spans="1:11">
      <c r="A81" s="17"/>
      <c r="B81" s="18"/>
      <c r="C81" s="18"/>
      <c r="D81" s="29"/>
      <c r="E81" s="30"/>
      <c r="F81" s="7"/>
      <c r="G81" s="74"/>
      <c r="H81" s="19"/>
      <c r="I81" s="8">
        <v>1523697</v>
      </c>
      <c r="J81" s="8">
        <f t="shared" si="11"/>
        <v>-1523697</v>
      </c>
      <c r="K81" s="9">
        <v>42445</v>
      </c>
    </row>
    <row r="82" spans="1:11">
      <c r="A82" s="17">
        <v>42278</v>
      </c>
      <c r="B82" s="18">
        <v>3708280</v>
      </c>
      <c r="C82" s="18">
        <v>17799</v>
      </c>
      <c r="D82" s="29">
        <f t="shared" si="9"/>
        <v>3690481</v>
      </c>
      <c r="E82" s="30">
        <f t="shared" si="10"/>
        <v>20113121</v>
      </c>
      <c r="F82" s="7">
        <v>42313</v>
      </c>
      <c r="G82" s="74"/>
      <c r="H82" s="19">
        <v>42374</v>
      </c>
      <c r="I82" s="20">
        <v>17566391</v>
      </c>
      <c r="J82" s="8">
        <f t="shared" si="11"/>
        <v>2546730</v>
      </c>
      <c r="K82" s="9">
        <v>42380</v>
      </c>
    </row>
    <row r="83" spans="1:11">
      <c r="A83" s="17"/>
      <c r="B83" s="18"/>
      <c r="C83" s="18"/>
      <c r="D83" s="29"/>
      <c r="E83" s="30"/>
      <c r="F83" s="7"/>
      <c r="G83" s="74"/>
      <c r="H83" s="19"/>
      <c r="I83" s="8">
        <v>2546733</v>
      </c>
      <c r="J83" s="8">
        <f t="shared" si="11"/>
        <v>-2546733</v>
      </c>
      <c r="K83" s="9">
        <v>42472</v>
      </c>
    </row>
    <row r="84" spans="1:11">
      <c r="A84" s="17">
        <v>42309</v>
      </c>
      <c r="B84" s="18">
        <v>2659004</v>
      </c>
      <c r="C84" s="18">
        <v>18555</v>
      </c>
      <c r="D84" s="6">
        <f t="shared" si="9"/>
        <v>2640449</v>
      </c>
      <c r="E84" s="8">
        <f t="shared" si="10"/>
        <v>14390447</v>
      </c>
      <c r="F84" s="7">
        <v>42342</v>
      </c>
      <c r="G84" s="74"/>
      <c r="H84" s="19">
        <v>42404</v>
      </c>
      <c r="I84" s="20">
        <v>14390446</v>
      </c>
      <c r="J84" s="8">
        <f t="shared" si="11"/>
        <v>1</v>
      </c>
      <c r="K84" s="9">
        <v>42403</v>
      </c>
    </row>
    <row r="85" spans="1:11">
      <c r="A85" s="17">
        <v>42339</v>
      </c>
      <c r="B85" s="18">
        <v>3061826</v>
      </c>
      <c r="C85" s="18">
        <v>20347</v>
      </c>
      <c r="D85" s="6">
        <f t="shared" si="9"/>
        <v>3041479</v>
      </c>
      <c r="E85" s="8">
        <f t="shared" si="10"/>
        <v>16576061</v>
      </c>
      <c r="F85" s="7">
        <v>42374</v>
      </c>
      <c r="G85" s="74"/>
      <c r="H85" s="19">
        <v>42434</v>
      </c>
      <c r="I85" s="20">
        <v>16576062</v>
      </c>
      <c r="J85" s="8">
        <f t="shared" si="11"/>
        <v>-1</v>
      </c>
      <c r="K85" s="9">
        <v>42436</v>
      </c>
    </row>
    <row r="86" spans="1:11">
      <c r="A86" s="17">
        <v>42370</v>
      </c>
      <c r="B86" s="18">
        <v>3112903</v>
      </c>
      <c r="C86" s="18">
        <v>20204</v>
      </c>
      <c r="D86" s="6">
        <f t="shared" si="9"/>
        <v>3092699</v>
      </c>
      <c r="E86" s="4">
        <f t="shared" si="10"/>
        <v>16855210</v>
      </c>
      <c r="F86" s="7">
        <v>42405</v>
      </c>
      <c r="G86" s="74"/>
      <c r="H86" s="19">
        <v>42464</v>
      </c>
      <c r="I86" s="20">
        <v>16855210</v>
      </c>
      <c r="J86" s="8">
        <f t="shared" si="11"/>
        <v>0</v>
      </c>
      <c r="K86" s="9">
        <v>42465</v>
      </c>
    </row>
    <row r="87" spans="1:11">
      <c r="A87" s="17">
        <v>42401</v>
      </c>
      <c r="B87" s="18">
        <v>3409537</v>
      </c>
      <c r="C87" s="18">
        <v>17186</v>
      </c>
      <c r="D87" s="6">
        <f t="shared" si="9"/>
        <v>3392351</v>
      </c>
      <c r="E87" s="4">
        <f t="shared" si="10"/>
        <v>18488313</v>
      </c>
      <c r="F87" s="7">
        <v>42433</v>
      </c>
      <c r="G87" s="74"/>
      <c r="H87" s="19">
        <v>42494</v>
      </c>
      <c r="I87" s="20">
        <v>18488313</v>
      </c>
      <c r="J87" s="8">
        <f t="shared" si="11"/>
        <v>0</v>
      </c>
      <c r="K87" s="9">
        <v>42495</v>
      </c>
    </row>
    <row r="88" spans="1:11">
      <c r="A88" s="17">
        <v>42430</v>
      </c>
      <c r="B88" s="18">
        <v>3669874</v>
      </c>
      <c r="C88" s="18">
        <v>17672</v>
      </c>
      <c r="D88" s="6">
        <f t="shared" si="9"/>
        <v>3652202</v>
      </c>
      <c r="E88" s="4">
        <f t="shared" si="10"/>
        <v>19904501</v>
      </c>
      <c r="F88" s="7">
        <v>42464</v>
      </c>
      <c r="G88" s="74"/>
      <c r="H88" s="19">
        <f>F88+60</f>
        <v>42524</v>
      </c>
      <c r="I88" s="20">
        <f>E88</f>
        <v>19904501</v>
      </c>
      <c r="J88" s="8">
        <f t="shared" si="11"/>
        <v>0</v>
      </c>
      <c r="K88" s="9">
        <v>42528</v>
      </c>
    </row>
    <row r="89" spans="1:11">
      <c r="A89" s="17">
        <v>42461</v>
      </c>
      <c r="B89" s="21">
        <v>3759018</v>
      </c>
      <c r="C89" s="21">
        <v>16363</v>
      </c>
      <c r="D89" s="6">
        <f>ROUND(B89-C89,0)</f>
        <v>3742655</v>
      </c>
      <c r="E89" s="8">
        <f>D89*5.45</f>
        <v>20397470</v>
      </c>
      <c r="F89" s="7">
        <v>42494</v>
      </c>
      <c r="G89" s="74"/>
      <c r="H89" s="19">
        <f>F89+60</f>
        <v>42554</v>
      </c>
      <c r="I89" s="6">
        <f>E89</f>
        <v>20397470</v>
      </c>
      <c r="J89" s="25">
        <f t="shared" si="11"/>
        <v>0</v>
      </c>
      <c r="K89" s="9">
        <v>42556</v>
      </c>
    </row>
    <row r="90" spans="1:11">
      <c r="A90" s="17">
        <v>42491</v>
      </c>
      <c r="B90" s="21">
        <v>3682717</v>
      </c>
      <c r="C90" s="21">
        <v>15290</v>
      </c>
      <c r="D90" s="6">
        <f>ROUND(B90-C90,0)</f>
        <v>3667427</v>
      </c>
      <c r="E90" s="8">
        <f>D90*5.45</f>
        <v>19987477</v>
      </c>
      <c r="F90" s="7">
        <v>42527</v>
      </c>
      <c r="G90" s="74"/>
      <c r="H90" s="19">
        <f>F90+60</f>
        <v>42587</v>
      </c>
      <c r="I90" s="8">
        <v>19987477</v>
      </c>
      <c r="J90" s="25">
        <f t="shared" si="11"/>
        <v>0</v>
      </c>
      <c r="K90" s="9">
        <v>42588</v>
      </c>
    </row>
    <row r="91" spans="1:11">
      <c r="A91" s="17">
        <v>42522</v>
      </c>
      <c r="B91" s="21">
        <v>3608024</v>
      </c>
      <c r="C91" s="21">
        <v>14846</v>
      </c>
      <c r="D91" s="6">
        <f>ROUND(B91-C91,0)</f>
        <v>3593178</v>
      </c>
      <c r="E91" s="8">
        <f>D91*5.45</f>
        <v>19582820</v>
      </c>
      <c r="F91" s="7">
        <v>42557</v>
      </c>
      <c r="G91" s="74"/>
      <c r="H91" s="19">
        <f>F91+60</f>
        <v>42617</v>
      </c>
      <c r="I91" s="8">
        <v>0</v>
      </c>
      <c r="J91" s="8"/>
      <c r="K91" s="16" t="s">
        <v>13</v>
      </c>
    </row>
    <row r="92" spans="1:11">
      <c r="A92" s="17">
        <v>42552</v>
      </c>
      <c r="B92" s="21">
        <v>3434612</v>
      </c>
      <c r="C92" s="21">
        <v>15569</v>
      </c>
      <c r="D92" s="6">
        <f>ROUND(B92-C92,0)</f>
        <v>3419043</v>
      </c>
      <c r="E92" s="8">
        <f>D92*5.45</f>
        <v>18633784</v>
      </c>
      <c r="F92" s="7">
        <v>42590</v>
      </c>
      <c r="G92" s="74"/>
      <c r="H92" s="19">
        <f>F92+60</f>
        <v>42650</v>
      </c>
      <c r="I92" s="8"/>
      <c r="J92" s="8"/>
      <c r="K92" s="16" t="s">
        <v>14</v>
      </c>
    </row>
    <row r="93" spans="1:11">
      <c r="A93" s="17">
        <v>42583</v>
      </c>
      <c r="B93" s="21"/>
      <c r="C93" s="21"/>
      <c r="D93" s="6"/>
      <c r="E93" s="8"/>
      <c r="F93" s="7"/>
      <c r="G93" s="74"/>
      <c r="H93" s="19"/>
      <c r="I93" s="8"/>
      <c r="J93" s="8"/>
      <c r="K93" s="16" t="s">
        <v>57</v>
      </c>
    </row>
    <row r="94" spans="1:11">
      <c r="A94" s="2" t="s">
        <v>10</v>
      </c>
      <c r="B94" s="3">
        <f>SUM(B76:B93)</f>
        <v>46741490</v>
      </c>
      <c r="C94" s="3">
        <f>SUM(C76:C93)</f>
        <v>230409</v>
      </c>
      <c r="D94" s="3">
        <f>SUM(D76:D93)</f>
        <v>46511081</v>
      </c>
      <c r="E94" s="3">
        <f>SUM(E76:E93)</f>
        <v>253485392</v>
      </c>
      <c r="F94" s="3"/>
      <c r="G94" s="13"/>
      <c r="H94" s="3"/>
      <c r="I94" s="3">
        <f>SUM(I76:I93)</f>
        <v>212226550</v>
      </c>
      <c r="J94" s="3">
        <f>SUM(J76:J93)</f>
        <v>3042238</v>
      </c>
      <c r="K94" s="3"/>
    </row>
    <row r="95" spans="1:11">
      <c r="H95" s="22"/>
      <c r="I95" s="23"/>
      <c r="K95" s="24"/>
    </row>
    <row r="96" spans="1:11">
      <c r="A96" s="1" t="s">
        <v>19</v>
      </c>
      <c r="I96" t="s">
        <v>58</v>
      </c>
      <c r="K96" s="73">
        <v>42142</v>
      </c>
    </row>
    <row r="98" spans="1:13" ht="43.2">
      <c r="A98" s="2"/>
      <c r="B98" s="3" t="s">
        <v>1</v>
      </c>
      <c r="C98" s="3" t="s">
        <v>2</v>
      </c>
      <c r="D98" s="3" t="s">
        <v>3</v>
      </c>
      <c r="E98" s="3" t="s">
        <v>4</v>
      </c>
      <c r="F98" s="3" t="s">
        <v>5</v>
      </c>
      <c r="G98" s="13" t="s">
        <v>54</v>
      </c>
      <c r="H98" s="3" t="s">
        <v>6</v>
      </c>
      <c r="I98" s="3" t="s">
        <v>7</v>
      </c>
      <c r="J98" s="3" t="s">
        <v>8</v>
      </c>
      <c r="K98" s="3" t="s">
        <v>9</v>
      </c>
    </row>
    <row r="99" spans="1:13">
      <c r="A99" s="17">
        <v>42125</v>
      </c>
      <c r="B99" s="18">
        <v>472297</v>
      </c>
      <c r="C99" s="18">
        <v>17085</v>
      </c>
      <c r="D99" s="6">
        <f t="shared" ref="D99:D111" si="12">B99-C99</f>
        <v>455212</v>
      </c>
      <c r="E99" s="8">
        <f t="shared" ref="E99:E111" si="13">D99*5.45</f>
        <v>2480905</v>
      </c>
      <c r="F99" s="7">
        <v>42199</v>
      </c>
      <c r="G99" s="74"/>
      <c r="H99" s="7">
        <v>42261</v>
      </c>
      <c r="I99" s="8">
        <v>0</v>
      </c>
      <c r="J99" s="8">
        <f t="shared" ref="J99:J113" si="14">E99-I99</f>
        <v>2480905</v>
      </c>
      <c r="K99" s="16" t="s">
        <v>13</v>
      </c>
      <c r="L99" s="72" t="e">
        <f>K99-F99</f>
        <v>#VALUE!</v>
      </c>
    </row>
    <row r="100" spans="1:13">
      <c r="A100" s="17">
        <v>42156</v>
      </c>
      <c r="B100" s="18">
        <v>2455739</v>
      </c>
      <c r="C100" s="18">
        <v>14162</v>
      </c>
      <c r="D100" s="6">
        <f t="shared" si="12"/>
        <v>2441577</v>
      </c>
      <c r="E100" s="8">
        <f t="shared" si="13"/>
        <v>13306595</v>
      </c>
      <c r="F100" s="7">
        <v>42199</v>
      </c>
      <c r="G100" s="74"/>
      <c r="H100" s="7">
        <v>42261</v>
      </c>
      <c r="I100" s="8">
        <v>13275005</v>
      </c>
      <c r="J100" s="8">
        <f t="shared" si="14"/>
        <v>31590</v>
      </c>
      <c r="K100" s="9">
        <v>42263</v>
      </c>
      <c r="L100" s="72">
        <f t="shared" ref="L100:L114" si="15">K100-F100</f>
        <v>64</v>
      </c>
      <c r="M100">
        <f>K100-F100</f>
        <v>64</v>
      </c>
    </row>
    <row r="101" spans="1:13">
      <c r="A101" s="17">
        <v>42186</v>
      </c>
      <c r="B101" s="21">
        <v>2720360</v>
      </c>
      <c r="C101" s="18">
        <v>15215</v>
      </c>
      <c r="D101" s="6">
        <f t="shared" si="12"/>
        <v>2705145</v>
      </c>
      <c r="E101" s="8">
        <f t="shared" si="13"/>
        <v>14743040</v>
      </c>
      <c r="F101" s="7">
        <v>42223</v>
      </c>
      <c r="G101" s="74"/>
      <c r="H101" s="19">
        <v>42284</v>
      </c>
      <c r="I101" s="20">
        <f>10000000+4743036</f>
        <v>14743036</v>
      </c>
      <c r="J101" s="8">
        <f t="shared" si="14"/>
        <v>4</v>
      </c>
      <c r="K101" s="9">
        <v>42284</v>
      </c>
      <c r="L101" s="72">
        <f t="shared" si="15"/>
        <v>61</v>
      </c>
      <c r="M101">
        <f t="shared" ref="M101:M113" si="16">K101-F101</f>
        <v>61</v>
      </c>
    </row>
    <row r="102" spans="1:13">
      <c r="A102" s="17">
        <v>42217</v>
      </c>
      <c r="B102" s="21">
        <v>3367841</v>
      </c>
      <c r="C102" s="18">
        <v>16137</v>
      </c>
      <c r="D102" s="6">
        <f t="shared" si="12"/>
        <v>3351704</v>
      </c>
      <c r="E102" s="8">
        <f t="shared" si="13"/>
        <v>18266787</v>
      </c>
      <c r="F102" s="7">
        <v>42254</v>
      </c>
      <c r="G102" s="74"/>
      <c r="H102" s="19">
        <v>42315</v>
      </c>
      <c r="I102" s="20">
        <f>17713846+551824</f>
        <v>18265670</v>
      </c>
      <c r="J102" s="8">
        <f t="shared" si="14"/>
        <v>1117</v>
      </c>
      <c r="K102" s="9">
        <v>42317</v>
      </c>
      <c r="L102" s="72">
        <f t="shared" si="15"/>
        <v>63</v>
      </c>
      <c r="M102">
        <f t="shared" si="16"/>
        <v>63</v>
      </c>
    </row>
    <row r="103" spans="1:13">
      <c r="A103" s="17">
        <v>42248</v>
      </c>
      <c r="B103" s="26">
        <v>3221839</v>
      </c>
      <c r="C103" s="31">
        <v>37372.559999999998</v>
      </c>
      <c r="D103" s="29">
        <f t="shared" si="12"/>
        <v>3184466</v>
      </c>
      <c r="E103" s="30">
        <f t="shared" si="13"/>
        <v>17355340</v>
      </c>
      <c r="F103" s="7">
        <v>42284</v>
      </c>
      <c r="G103" s="74"/>
      <c r="H103" s="19">
        <v>42345</v>
      </c>
      <c r="I103" s="20">
        <v>16565902</v>
      </c>
      <c r="J103" s="8">
        <f t="shared" si="14"/>
        <v>789438</v>
      </c>
      <c r="K103" s="9">
        <v>42374</v>
      </c>
      <c r="L103" s="72">
        <f t="shared" si="15"/>
        <v>90</v>
      </c>
      <c r="M103">
        <f t="shared" si="16"/>
        <v>90</v>
      </c>
    </row>
    <row r="104" spans="1:13">
      <c r="A104" s="17"/>
      <c r="B104" s="26"/>
      <c r="C104" s="31"/>
      <c r="D104" s="29"/>
      <c r="E104" s="30"/>
      <c r="F104" s="7"/>
      <c r="G104" s="74"/>
      <c r="H104" s="19"/>
      <c r="I104" s="20">
        <v>268536</v>
      </c>
      <c r="J104" s="8">
        <f t="shared" si="14"/>
        <v>-268536</v>
      </c>
      <c r="K104" s="9">
        <v>42445</v>
      </c>
      <c r="L104" s="72">
        <f t="shared" si="15"/>
        <v>42445</v>
      </c>
    </row>
    <row r="105" spans="1:13">
      <c r="A105" s="17">
        <v>42278</v>
      </c>
      <c r="B105" s="21">
        <v>3688129</v>
      </c>
      <c r="C105" s="21">
        <v>16473</v>
      </c>
      <c r="D105" s="29">
        <f t="shared" si="12"/>
        <v>3671656</v>
      </c>
      <c r="E105" s="30">
        <f t="shared" si="13"/>
        <v>20010525</v>
      </c>
      <c r="F105" s="7">
        <v>42313</v>
      </c>
      <c r="G105" s="74"/>
      <c r="H105" s="19">
        <v>42374</v>
      </c>
      <c r="I105" s="20">
        <v>17567332</v>
      </c>
      <c r="J105" s="8">
        <f t="shared" si="14"/>
        <v>2443193</v>
      </c>
      <c r="K105" s="9">
        <v>42380</v>
      </c>
      <c r="L105" s="72">
        <f t="shared" si="15"/>
        <v>67</v>
      </c>
      <c r="M105">
        <f t="shared" si="16"/>
        <v>67</v>
      </c>
    </row>
    <row r="106" spans="1:13">
      <c r="A106" s="17"/>
      <c r="B106" s="21"/>
      <c r="C106" s="21"/>
      <c r="D106" s="29"/>
      <c r="E106" s="30"/>
      <c r="F106" s="7"/>
      <c r="G106" s="74"/>
      <c r="H106" s="19"/>
      <c r="I106" s="25">
        <v>2443189</v>
      </c>
      <c r="J106" s="8">
        <f t="shared" si="14"/>
        <v>-2443189</v>
      </c>
      <c r="K106" s="9">
        <v>42472</v>
      </c>
      <c r="L106" s="72">
        <f t="shared" si="15"/>
        <v>42472</v>
      </c>
    </row>
    <row r="107" spans="1:13">
      <c r="A107" s="17">
        <v>42309</v>
      </c>
      <c r="B107" s="21">
        <v>2711314</v>
      </c>
      <c r="C107" s="21">
        <v>16927</v>
      </c>
      <c r="D107" s="6">
        <f t="shared" si="12"/>
        <v>2694387</v>
      </c>
      <c r="E107" s="8">
        <f t="shared" si="13"/>
        <v>14684409</v>
      </c>
      <c r="F107" s="7">
        <v>42342</v>
      </c>
      <c r="G107" s="74"/>
      <c r="H107" s="19">
        <v>42404</v>
      </c>
      <c r="I107" s="20">
        <v>14684407</v>
      </c>
      <c r="J107" s="8">
        <f t="shared" si="14"/>
        <v>2</v>
      </c>
      <c r="K107" s="9">
        <v>42404</v>
      </c>
      <c r="L107" s="72">
        <f t="shared" si="15"/>
        <v>62</v>
      </c>
      <c r="M107">
        <f t="shared" si="16"/>
        <v>62</v>
      </c>
    </row>
    <row r="108" spans="1:13">
      <c r="A108" s="17">
        <v>42339</v>
      </c>
      <c r="B108" s="21">
        <v>3000021</v>
      </c>
      <c r="C108" s="21">
        <v>18293</v>
      </c>
      <c r="D108" s="6">
        <f t="shared" si="12"/>
        <v>2981728</v>
      </c>
      <c r="E108" s="8">
        <f t="shared" si="13"/>
        <v>16250418</v>
      </c>
      <c r="F108" s="7">
        <v>42374</v>
      </c>
      <c r="G108" s="74"/>
      <c r="H108" s="19">
        <v>42434</v>
      </c>
      <c r="I108" s="20">
        <v>16181197</v>
      </c>
      <c r="J108" s="8">
        <f t="shared" si="14"/>
        <v>69221</v>
      </c>
      <c r="K108" s="9">
        <v>42437</v>
      </c>
      <c r="L108" s="72">
        <f t="shared" si="15"/>
        <v>63</v>
      </c>
      <c r="M108">
        <f t="shared" si="16"/>
        <v>63</v>
      </c>
    </row>
    <row r="109" spans="1:13">
      <c r="A109" s="17">
        <v>42370</v>
      </c>
      <c r="B109" s="21">
        <v>3029763</v>
      </c>
      <c r="C109" s="21">
        <v>18096</v>
      </c>
      <c r="D109" s="6">
        <f t="shared" si="12"/>
        <v>3011667</v>
      </c>
      <c r="E109" s="8">
        <f t="shared" si="13"/>
        <v>16413585</v>
      </c>
      <c r="F109" s="7">
        <v>42405</v>
      </c>
      <c r="G109" s="74"/>
      <c r="H109" s="19">
        <v>42464</v>
      </c>
      <c r="I109" s="20">
        <v>16382267</v>
      </c>
      <c r="J109" s="8">
        <f t="shared" si="14"/>
        <v>31318</v>
      </c>
      <c r="K109" s="9">
        <v>42465</v>
      </c>
      <c r="L109" s="72">
        <f t="shared" si="15"/>
        <v>60</v>
      </c>
      <c r="M109">
        <f t="shared" si="16"/>
        <v>60</v>
      </c>
    </row>
    <row r="110" spans="1:13">
      <c r="A110" s="17">
        <v>42401</v>
      </c>
      <c r="B110" s="21">
        <v>3333667</v>
      </c>
      <c r="C110" s="21">
        <v>15389</v>
      </c>
      <c r="D110" s="6">
        <f t="shared" si="12"/>
        <v>3318278</v>
      </c>
      <c r="E110" s="8">
        <f t="shared" si="13"/>
        <v>18084615</v>
      </c>
      <c r="F110" s="7">
        <v>42433</v>
      </c>
      <c r="G110" s="74"/>
      <c r="H110" s="19">
        <v>42494</v>
      </c>
      <c r="I110" s="20">
        <v>18084612</v>
      </c>
      <c r="J110" s="8">
        <f t="shared" si="14"/>
        <v>3</v>
      </c>
      <c r="K110" s="9">
        <v>42495</v>
      </c>
      <c r="L110" s="72">
        <f t="shared" si="15"/>
        <v>62</v>
      </c>
      <c r="M110">
        <f t="shared" si="16"/>
        <v>62</v>
      </c>
    </row>
    <row r="111" spans="1:13">
      <c r="A111" s="17">
        <v>42430</v>
      </c>
      <c r="B111" s="21">
        <v>3636059</v>
      </c>
      <c r="C111" s="21">
        <v>15807</v>
      </c>
      <c r="D111" s="6">
        <f t="shared" si="12"/>
        <v>3620252</v>
      </c>
      <c r="E111" s="8">
        <f t="shared" si="13"/>
        <v>19730373</v>
      </c>
      <c r="F111" s="7">
        <v>42464</v>
      </c>
      <c r="G111" s="74"/>
      <c r="H111" s="19">
        <f>F111+60</f>
        <v>42524</v>
      </c>
      <c r="I111" s="20">
        <f>E111</f>
        <v>19730373</v>
      </c>
      <c r="J111" s="8">
        <f t="shared" si="14"/>
        <v>0</v>
      </c>
      <c r="K111" s="9">
        <v>42528</v>
      </c>
      <c r="L111" s="72">
        <f t="shared" si="15"/>
        <v>64</v>
      </c>
      <c r="M111">
        <f t="shared" si="16"/>
        <v>64</v>
      </c>
    </row>
    <row r="112" spans="1:13">
      <c r="A112" s="17">
        <v>42461</v>
      </c>
      <c r="B112" s="21">
        <v>3731168</v>
      </c>
      <c r="C112" s="21">
        <v>14715</v>
      </c>
      <c r="D112" s="6">
        <f>ROUND(B112-C112,0)</f>
        <v>3716453</v>
      </c>
      <c r="E112" s="8">
        <f>D112*5.45</f>
        <v>20254669</v>
      </c>
      <c r="F112" s="7">
        <v>42494</v>
      </c>
      <c r="G112" s="74"/>
      <c r="H112" s="19">
        <f>F112+60</f>
        <v>42554</v>
      </c>
      <c r="I112" s="6">
        <f>E112</f>
        <v>20254669</v>
      </c>
      <c r="J112" s="25">
        <f t="shared" si="14"/>
        <v>0</v>
      </c>
      <c r="K112" s="9">
        <v>42556</v>
      </c>
      <c r="L112" s="72">
        <f t="shared" si="15"/>
        <v>62</v>
      </c>
      <c r="M112">
        <f t="shared" si="16"/>
        <v>62</v>
      </c>
    </row>
    <row r="113" spans="1:13">
      <c r="A113" s="17">
        <v>42491</v>
      </c>
      <c r="B113" s="21">
        <v>3665803</v>
      </c>
      <c r="C113" s="21">
        <v>13864</v>
      </c>
      <c r="D113" s="6">
        <f>ROUND(B113-C113,0)</f>
        <v>3651939</v>
      </c>
      <c r="E113" s="8">
        <f>D113*5.45</f>
        <v>19903068</v>
      </c>
      <c r="F113" s="7">
        <v>42527</v>
      </c>
      <c r="G113" s="74"/>
      <c r="H113" s="19">
        <f>F113+60</f>
        <v>42587</v>
      </c>
      <c r="I113" s="25">
        <v>19903068</v>
      </c>
      <c r="J113" s="25">
        <f t="shared" si="14"/>
        <v>0</v>
      </c>
      <c r="K113" s="9">
        <v>42588</v>
      </c>
      <c r="L113" s="72">
        <f t="shared" si="15"/>
        <v>61</v>
      </c>
      <c r="M113">
        <f t="shared" si="16"/>
        <v>61</v>
      </c>
    </row>
    <row r="114" spans="1:13">
      <c r="A114" s="17">
        <v>42522</v>
      </c>
      <c r="B114" s="21">
        <v>3602587</v>
      </c>
      <c r="C114" s="21">
        <v>13638</v>
      </c>
      <c r="D114" s="6">
        <f>ROUND(B114-C114,0)</f>
        <v>3588949</v>
      </c>
      <c r="E114" s="8">
        <f>D114*5.45</f>
        <v>19559772</v>
      </c>
      <c r="F114" s="7">
        <v>42557</v>
      </c>
      <c r="G114" s="74"/>
      <c r="H114" s="19">
        <f>F114+60</f>
        <v>42617</v>
      </c>
      <c r="I114" s="25">
        <v>0</v>
      </c>
      <c r="J114" s="25"/>
      <c r="K114" s="16" t="s">
        <v>13</v>
      </c>
      <c r="L114" s="72" t="e">
        <f t="shared" si="15"/>
        <v>#VALUE!</v>
      </c>
    </row>
    <row r="115" spans="1:13">
      <c r="A115" s="17">
        <v>42552</v>
      </c>
      <c r="B115" s="21">
        <v>3521743</v>
      </c>
      <c r="C115" s="21">
        <v>15561</v>
      </c>
      <c r="D115" s="6">
        <f>ROUND(B115-C115,0)</f>
        <v>3506182</v>
      </c>
      <c r="E115" s="8">
        <f>D115*5.45</f>
        <v>19108692</v>
      </c>
      <c r="F115" s="7">
        <v>42590</v>
      </c>
      <c r="G115" s="74"/>
      <c r="H115" s="19">
        <f>F115+60</f>
        <v>42650</v>
      </c>
      <c r="I115" s="25">
        <v>0</v>
      </c>
      <c r="J115" s="25"/>
      <c r="K115" s="16" t="s">
        <v>14</v>
      </c>
    </row>
    <row r="116" spans="1:13">
      <c r="A116" s="17">
        <v>42583</v>
      </c>
      <c r="B116" s="21"/>
      <c r="C116" s="21"/>
      <c r="D116" s="6"/>
      <c r="E116" s="8"/>
      <c r="F116" s="7"/>
      <c r="G116" s="74"/>
      <c r="H116" s="19"/>
      <c r="I116" s="25"/>
      <c r="J116" s="25"/>
      <c r="K116" s="16" t="s">
        <v>57</v>
      </c>
    </row>
    <row r="117" spans="1:13">
      <c r="A117" s="2" t="s">
        <v>10</v>
      </c>
      <c r="B117" s="3">
        <f>SUM(B99:B116)</f>
        <v>46158330</v>
      </c>
      <c r="C117" s="3">
        <f>SUM(C99:C116)</f>
        <v>258735</v>
      </c>
      <c r="D117" s="3">
        <f>SUM(D99:D116)</f>
        <v>45899595</v>
      </c>
      <c r="E117" s="3">
        <f>SUM(E99:E116)</f>
        <v>250152793</v>
      </c>
      <c r="F117" s="3"/>
      <c r="G117" s="13"/>
      <c r="H117" s="3"/>
      <c r="I117" s="3">
        <f>SUM(I99:I116)</f>
        <v>208349263</v>
      </c>
      <c r="J117" s="3">
        <f>SUM(J99:J116)</f>
        <v>3135066</v>
      </c>
      <c r="K117" s="3"/>
    </row>
    <row r="120" spans="1:13">
      <c r="E120" s="32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Actual ER</vt:lpstr>
      <vt:lpstr>Punjab</vt:lpstr>
      <vt:lpstr>AP</vt:lpstr>
      <vt:lpstr>CG</vt:lpstr>
      <vt:lpstr>Telangana</vt:lpstr>
      <vt:lpstr>Odisha</vt:lpstr>
      <vt:lpstr>Uttarakhand</vt:lpstr>
      <vt:lpstr>Apportioning</vt:lpstr>
      <vt:lpstr>SECI</vt:lpstr>
      <vt:lpstr>June Month Billing</vt:lpstr>
      <vt:lpstr>Bihar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2026-01-06T17:55:39Z</dcterms:modified>
</cp:coreProperties>
</file>