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codeName="ThisWorkbook" defaultThemeVersion="124226"/>
  <xr:revisionPtr revIDLastSave="0" documentId="13_ncr:1_{026ABB95-CCD3-4CCC-81F3-8B641DA8D49B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Actual ER" sheetId="18" r:id="rId1"/>
    <sheet name="Punjab" sheetId="6" r:id="rId2"/>
    <sheet name="AP" sheetId="9" r:id="rId3"/>
    <sheet name="Odisha" sheetId="4" r:id="rId4"/>
    <sheet name="SECI" sheetId="3" state="hidden" r:id="rId5"/>
    <sheet name="CG" sheetId="5" r:id="rId6"/>
    <sheet name="June Month Billing" sheetId="10" state="hidden" r:id="rId7"/>
    <sheet name="Bihar" sheetId="12" state="hidden" r:id="rId8"/>
    <sheet name="Telangana" sheetId="15" r:id="rId9"/>
    <sheet name="Uttarakhand" sheetId="17" r:id="rId10"/>
  </sheets>
  <definedNames>
    <definedName name="_xlnm._FilterDatabase" localSheetId="1" hidden="1">Punjab!$B$4:$F$4</definedName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8" l="1"/>
  <c r="G8" i="18" s="1"/>
  <c r="G11" i="18" s="1"/>
  <c r="H26" i="9" l="1"/>
  <c r="H27" i="9"/>
  <c r="H28" i="9"/>
  <c r="H29" i="9"/>
  <c r="H30" i="9"/>
  <c r="H31" i="9"/>
  <c r="H32" i="9"/>
  <c r="H33" i="9"/>
  <c r="E27" i="9"/>
  <c r="D27" i="9"/>
  <c r="E26" i="9"/>
  <c r="D26" i="9"/>
  <c r="E49" i="9"/>
  <c r="D49" i="9"/>
  <c r="E48" i="9"/>
  <c r="D48" i="9"/>
  <c r="E6" i="17" l="1"/>
  <c r="E64" i="9"/>
  <c r="F40" i="9"/>
  <c r="E9" i="4" l="1"/>
  <c r="E21" i="15"/>
  <c r="E9" i="15"/>
  <c r="J6" i="6"/>
  <c r="J7" i="6"/>
  <c r="J8" i="6"/>
  <c r="J9" i="6"/>
  <c r="J10" i="6"/>
  <c r="J11" i="6"/>
  <c r="J12" i="6"/>
  <c r="E8" i="6"/>
  <c r="E6" i="6"/>
  <c r="O6" i="6" l="1"/>
  <c r="O7" i="6"/>
  <c r="O8" i="6"/>
  <c r="O9" i="6"/>
  <c r="O10" i="6"/>
  <c r="O11" i="6"/>
  <c r="O12" i="6"/>
  <c r="O5" i="6"/>
  <c r="J5" i="6"/>
  <c r="J13" i="6" l="1"/>
  <c r="F15" i="18" s="1"/>
  <c r="O13" i="6"/>
  <c r="F16" i="18" s="1"/>
  <c r="E27" i="18"/>
  <c r="E5" i="5" l="1"/>
  <c r="E5" i="4"/>
  <c r="E72" i="9"/>
  <c r="E73" i="9"/>
  <c r="E74" i="9"/>
  <c r="E75" i="9"/>
  <c r="E77" i="9"/>
  <c r="E71" i="9"/>
  <c r="E59" i="9"/>
  <c r="E60" i="9"/>
  <c r="E61" i="9"/>
  <c r="E62" i="9"/>
  <c r="E63" i="9"/>
  <c r="E65" i="9"/>
  <c r="F39" i="9"/>
  <c r="F41" i="9"/>
  <c r="I47" i="9" s="1"/>
  <c r="F42" i="9"/>
  <c r="F43" i="9"/>
  <c r="F44" i="9"/>
  <c r="F45" i="9"/>
  <c r="F46" i="9"/>
  <c r="F47" i="9"/>
  <c r="F50" i="9"/>
  <c r="F51" i="9"/>
  <c r="F52" i="9"/>
  <c r="F53" i="9"/>
  <c r="F54" i="9"/>
  <c r="F38" i="9"/>
  <c r="I46" i="9" s="1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E6" i="9"/>
  <c r="E7" i="9"/>
  <c r="E8" i="9"/>
  <c r="E9" i="9"/>
  <c r="E10" i="9"/>
  <c r="E11" i="9"/>
  <c r="E12" i="9"/>
  <c r="E5" i="9"/>
  <c r="E7" i="6"/>
  <c r="E9" i="6"/>
  <c r="E10" i="6"/>
  <c r="E11" i="6"/>
  <c r="E12" i="6"/>
  <c r="E58" i="9"/>
  <c r="E12" i="5"/>
  <c r="I32" i="9" l="1"/>
  <c r="I30" i="9"/>
  <c r="I28" i="9"/>
  <c r="I49" i="9"/>
  <c r="I33" i="9"/>
  <c r="I31" i="9"/>
  <c r="I29" i="9"/>
  <c r="I27" i="9"/>
  <c r="I52" i="9"/>
  <c r="I53" i="9"/>
  <c r="I50" i="9"/>
  <c r="I48" i="9"/>
  <c r="E13" i="9"/>
  <c r="I5" i="9"/>
  <c r="G5" i="18" l="1"/>
  <c r="G24" i="18" l="1"/>
  <c r="G20" i="18"/>
  <c r="G16" i="18"/>
  <c r="H16" i="18" s="1"/>
  <c r="G26" i="18"/>
  <c r="G18" i="18"/>
  <c r="G25" i="18"/>
  <c r="G17" i="18"/>
  <c r="G23" i="18"/>
  <c r="G19" i="18"/>
  <c r="G15" i="18"/>
  <c r="H15" i="18" s="1"/>
  <c r="G22" i="18"/>
  <c r="G14" i="18"/>
  <c r="G21" i="18"/>
  <c r="E11" i="17"/>
  <c r="F13" i="17"/>
  <c r="E7" i="17" l="1"/>
  <c r="E8" i="17"/>
  <c r="E9" i="17"/>
  <c r="E10" i="17"/>
  <c r="E12" i="17"/>
  <c r="E19" i="15"/>
  <c r="E20" i="15"/>
  <c r="E22" i="15"/>
  <c r="E23" i="15"/>
  <c r="E24" i="15"/>
  <c r="E6" i="4"/>
  <c r="F26" i="15"/>
  <c r="F13" i="4"/>
  <c r="F48" i="9" l="1"/>
  <c r="F49" i="9" l="1"/>
  <c r="I51" i="9" s="1"/>
  <c r="E25" i="15"/>
  <c r="E76" i="9"/>
  <c r="H5" i="9" l="1"/>
  <c r="H6" i="9"/>
  <c r="I7" i="9"/>
  <c r="I8" i="9"/>
  <c r="H8" i="9"/>
  <c r="B62" i="9"/>
  <c r="B75" i="9" s="1"/>
  <c r="I9" i="9"/>
  <c r="H10" i="9"/>
  <c r="I10" i="9"/>
  <c r="I11" i="9"/>
  <c r="H11" i="9"/>
  <c r="I12" i="9"/>
  <c r="H12" i="9"/>
  <c r="C13" i="9"/>
  <c r="D13" i="9"/>
  <c r="F13" i="9"/>
  <c r="F18" i="9"/>
  <c r="I26" i="9" s="1"/>
  <c r="J12" i="9"/>
  <c r="K6" i="9"/>
  <c r="K12" i="9"/>
  <c r="L5" i="9"/>
  <c r="B59" i="9"/>
  <c r="B72" i="9" s="1"/>
  <c r="L6" i="9"/>
  <c r="L7" i="9"/>
  <c r="B61" i="9"/>
  <c r="B74" i="9" s="1"/>
  <c r="L8" i="9"/>
  <c r="L9" i="9"/>
  <c r="B63" i="9"/>
  <c r="B76" i="9" s="1"/>
  <c r="L10" i="9"/>
  <c r="B64" i="9"/>
  <c r="B77" i="9" s="1"/>
  <c r="L11" i="9"/>
  <c r="B65" i="9"/>
  <c r="B78" i="9" s="1"/>
  <c r="L12" i="9"/>
  <c r="C66" i="9"/>
  <c r="D66" i="9"/>
  <c r="F66" i="9"/>
  <c r="M5" i="9"/>
  <c r="M6" i="9"/>
  <c r="M7" i="9"/>
  <c r="M8" i="9"/>
  <c r="M9" i="9"/>
  <c r="M10" i="9"/>
  <c r="M11" i="9"/>
  <c r="C79" i="9"/>
  <c r="F79" i="9"/>
  <c r="E6" i="5"/>
  <c r="E7" i="5"/>
  <c r="E8" i="5"/>
  <c r="E9" i="5"/>
  <c r="E10" i="5"/>
  <c r="E11" i="5"/>
  <c r="E13" i="5" l="1"/>
  <c r="F22" i="18" s="1"/>
  <c r="H22" i="18" s="1"/>
  <c r="J10" i="9"/>
  <c r="K11" i="9"/>
  <c r="K7" i="9"/>
  <c r="J9" i="9"/>
  <c r="K9" i="9"/>
  <c r="K8" i="9"/>
  <c r="J6" i="9"/>
  <c r="J7" i="9"/>
  <c r="J11" i="9"/>
  <c r="D79" i="9"/>
  <c r="E78" i="9"/>
  <c r="E79" i="9" s="1"/>
  <c r="L13" i="9"/>
  <c r="F19" i="18" s="1"/>
  <c r="H19" i="18" s="1"/>
  <c r="J5" i="9"/>
  <c r="K5" i="9"/>
  <c r="J8" i="9"/>
  <c r="B58" i="9"/>
  <c r="B71" i="9" s="1"/>
  <c r="H9" i="9"/>
  <c r="H7" i="9"/>
  <c r="B60" i="9"/>
  <c r="B73" i="9" s="1"/>
  <c r="E66" i="9"/>
  <c r="I6" i="9"/>
  <c r="K10" i="9" l="1"/>
  <c r="K13" i="9" s="1"/>
  <c r="F20" i="18" s="1"/>
  <c r="H20" i="18" s="1"/>
  <c r="M12" i="9"/>
  <c r="J13" i="9"/>
  <c r="F17" i="18" s="1"/>
  <c r="H17" i="18" s="1"/>
  <c r="I13" i="9"/>
  <c r="F18" i="18" s="1"/>
  <c r="H18" i="18" s="1"/>
  <c r="D13" i="17"/>
  <c r="C13" i="17"/>
  <c r="F13" i="15"/>
  <c r="D13" i="15"/>
  <c r="C13" i="15"/>
  <c r="C26" i="15"/>
  <c r="D26" i="15"/>
  <c r="M13" i="9" l="1"/>
  <c r="F21" i="18" s="1"/>
  <c r="H21" i="18" s="1"/>
  <c r="C13" i="5" l="1"/>
  <c r="D13" i="4"/>
  <c r="C13" i="4"/>
  <c r="E18" i="15" l="1"/>
  <c r="E5" i="15"/>
  <c r="E6" i="15"/>
  <c r="E7" i="15"/>
  <c r="E8" i="15"/>
  <c r="E10" i="15"/>
  <c r="E11" i="15"/>
  <c r="E12" i="15"/>
  <c r="E7" i="4"/>
  <c r="E8" i="4"/>
  <c r="E10" i="4"/>
  <c r="E11" i="4"/>
  <c r="E12" i="4"/>
  <c r="E13" i="15" l="1"/>
  <c r="F23" i="18" s="1"/>
  <c r="H23" i="18" s="1"/>
  <c r="E26" i="15"/>
  <c r="F24" i="18" s="1"/>
  <c r="H24" i="18" s="1"/>
  <c r="E13" i="4"/>
  <c r="F25" i="18" s="1"/>
  <c r="H25" i="18" s="1"/>
  <c r="E5" i="17"/>
  <c r="B12" i="5"/>
  <c r="B11" i="5"/>
  <c r="B10" i="5"/>
  <c r="B9" i="5"/>
  <c r="B8" i="5"/>
  <c r="B7" i="5"/>
  <c r="B6" i="5"/>
  <c r="B5" i="5"/>
  <c r="B12" i="4"/>
  <c r="B11" i="4"/>
  <c r="B10" i="4"/>
  <c r="B9" i="4"/>
  <c r="B8" i="4"/>
  <c r="B7" i="4"/>
  <c r="B6" i="4"/>
  <c r="B5" i="4"/>
  <c r="E13" i="17" l="1"/>
  <c r="F26" i="18" s="1"/>
  <c r="H26" i="18" s="1"/>
  <c r="E5" i="6"/>
  <c r="E13" i="6" l="1"/>
  <c r="G7" i="18" l="1"/>
  <c r="F14" i="18"/>
  <c r="F27" i="18" l="1"/>
  <c r="G10" i="18" s="1"/>
  <c r="H14" i="18"/>
  <c r="D3" i="12"/>
  <c r="C3" i="12"/>
  <c r="E34" i="12"/>
  <c r="F34" i="12" s="1"/>
  <c r="E11" i="12"/>
  <c r="F11" i="12" s="1"/>
  <c r="E27" i="12"/>
  <c r="F27" i="12" s="1"/>
  <c r="E5" i="12"/>
  <c r="F5" i="12" s="1"/>
  <c r="E36" i="12" l="1"/>
  <c r="E13" i="12"/>
  <c r="E8" i="12"/>
  <c r="F8" i="12" s="1"/>
  <c r="E14" i="12"/>
  <c r="F14" i="12" s="1"/>
  <c r="E37" i="12"/>
  <c r="F37" i="12" s="1"/>
  <c r="E30" i="12"/>
  <c r="F30" i="12" s="1"/>
  <c r="J40" i="12"/>
  <c r="D40" i="12"/>
  <c r="C40" i="12"/>
  <c r="J16" i="12"/>
  <c r="D16" i="12"/>
  <c r="C16" i="12"/>
  <c r="I5" i="12"/>
  <c r="I27" i="12"/>
  <c r="I34" i="12"/>
  <c r="I11" i="12"/>
  <c r="E35" i="12"/>
  <c r="E12" i="12"/>
  <c r="F12" i="12" s="1"/>
  <c r="F35" i="12" l="1"/>
  <c r="E7" i="12" l="1"/>
  <c r="F7" i="12" s="1"/>
  <c r="E29" i="12"/>
  <c r="F29" i="12" s="1"/>
  <c r="M100" i="3" l="1"/>
  <c r="M101" i="3"/>
  <c r="M102" i="3"/>
  <c r="M103" i="3"/>
  <c r="M105" i="3"/>
  <c r="M107" i="3"/>
  <c r="M108" i="3"/>
  <c r="M109" i="3"/>
  <c r="M110" i="3"/>
  <c r="M111" i="3"/>
  <c r="M112" i="3"/>
  <c r="M113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E28" i="12" l="1"/>
  <c r="E40" i="12" s="1"/>
  <c r="E6" i="12"/>
  <c r="E16" i="12" s="1"/>
  <c r="F28" i="12" l="1"/>
  <c r="F40" i="12" s="1"/>
  <c r="F6" i="12"/>
  <c r="C117" i="3"/>
  <c r="C94" i="3"/>
  <c r="C71" i="3"/>
  <c r="C47" i="3"/>
  <c r="C24" i="3"/>
  <c r="B117" i="3"/>
  <c r="B94" i="3"/>
  <c r="B71" i="3"/>
  <c r="B47" i="3"/>
  <c r="B24" i="3"/>
  <c r="K28" i="12" l="1"/>
  <c r="K40" i="12" s="1"/>
  <c r="F2" i="12"/>
  <c r="F16" i="12"/>
  <c r="K6" i="12"/>
  <c r="K16" i="12" s="1"/>
  <c r="H115" i="3"/>
  <c r="D115" i="3"/>
  <c r="H92" i="3"/>
  <c r="D92" i="3"/>
  <c r="H69" i="3"/>
  <c r="D69" i="3"/>
  <c r="H45" i="3"/>
  <c r="D45" i="3"/>
  <c r="H22" i="3"/>
  <c r="D22" i="3"/>
  <c r="E115" i="3" l="1"/>
  <c r="E92" i="3"/>
  <c r="E69" i="3"/>
  <c r="E45" i="3"/>
  <c r="E22" i="3"/>
  <c r="I31" i="10" l="1"/>
  <c r="F31" i="10"/>
  <c r="G31" i="10" s="1"/>
  <c r="I30" i="10"/>
  <c r="F30" i="10"/>
  <c r="G30" i="10" s="1"/>
  <c r="I29" i="10"/>
  <c r="F29" i="10"/>
  <c r="G29" i="10" s="1"/>
  <c r="I28" i="10"/>
  <c r="F28" i="10"/>
  <c r="G28" i="10" s="1"/>
  <c r="I27" i="10"/>
  <c r="F27" i="10"/>
  <c r="G27" i="10" s="1"/>
  <c r="I26" i="10"/>
  <c r="F26" i="10"/>
  <c r="G26" i="10" s="1"/>
  <c r="I24" i="10"/>
  <c r="F24" i="10"/>
  <c r="G24" i="10" s="1"/>
  <c r="I23" i="10"/>
  <c r="F23" i="10"/>
  <c r="G23" i="10" s="1"/>
  <c r="I21" i="10"/>
  <c r="F21" i="10"/>
  <c r="G21" i="10" s="1"/>
  <c r="I20" i="10"/>
  <c r="F20" i="10"/>
  <c r="G20" i="10" s="1"/>
  <c r="I19" i="10"/>
  <c r="F19" i="10"/>
  <c r="G19" i="10" s="1"/>
  <c r="I17" i="10"/>
  <c r="F17" i="10"/>
  <c r="G17" i="10" s="1"/>
  <c r="E15" i="10"/>
  <c r="D15" i="10"/>
  <c r="I13" i="10"/>
  <c r="F13" i="10"/>
  <c r="G13" i="10" s="1"/>
  <c r="I12" i="10"/>
  <c r="F12" i="10"/>
  <c r="G12" i="10" s="1"/>
  <c r="I11" i="10"/>
  <c r="F11" i="10"/>
  <c r="G11" i="10" s="1"/>
  <c r="I10" i="10"/>
  <c r="F10" i="10"/>
  <c r="G10" i="10" s="1"/>
  <c r="I9" i="10"/>
  <c r="F9" i="10"/>
  <c r="G9" i="10" s="1"/>
  <c r="I7" i="10"/>
  <c r="G7" i="10"/>
  <c r="F7" i="10"/>
  <c r="I5" i="10"/>
  <c r="F5" i="10"/>
  <c r="F15" i="10" l="1"/>
  <c r="G15" i="10" s="1"/>
  <c r="G5" i="10"/>
  <c r="H114" i="3" l="1"/>
  <c r="D114" i="3"/>
  <c r="E114" i="3" s="1"/>
  <c r="H91" i="3"/>
  <c r="D91" i="3"/>
  <c r="E91" i="3" s="1"/>
  <c r="H68" i="3"/>
  <c r="D68" i="3"/>
  <c r="E68" i="3" s="1"/>
  <c r="H44" i="3"/>
  <c r="D44" i="3"/>
  <c r="E44" i="3" s="1"/>
  <c r="H21" i="3"/>
  <c r="D21" i="3"/>
  <c r="E21" i="3" s="1"/>
  <c r="H113" i="3" l="1"/>
  <c r="D113" i="3"/>
  <c r="E113" i="3" s="1"/>
  <c r="J113" i="3" s="1"/>
  <c r="H90" i="3"/>
  <c r="D90" i="3"/>
  <c r="E90" i="3" s="1"/>
  <c r="J90" i="3" s="1"/>
  <c r="H67" i="3"/>
  <c r="D67" i="3"/>
  <c r="E67" i="3" s="1"/>
  <c r="J67" i="3" s="1"/>
  <c r="H43" i="3"/>
  <c r="D43" i="3"/>
  <c r="E43" i="3" s="1"/>
  <c r="J43" i="3" s="1"/>
  <c r="H20" i="3"/>
  <c r="D20" i="3"/>
  <c r="E20" i="3" s="1"/>
  <c r="J20" i="3" s="1"/>
  <c r="J106" i="3" l="1"/>
  <c r="J104" i="3"/>
  <c r="J83" i="3"/>
  <c r="J81" i="3"/>
  <c r="J60" i="3"/>
  <c r="J58" i="3"/>
  <c r="J54" i="3"/>
  <c r="J36" i="3"/>
  <c r="J34" i="3"/>
  <c r="J13" i="3"/>
  <c r="J11" i="3"/>
  <c r="H112" i="3" l="1"/>
  <c r="D112" i="3"/>
  <c r="E112" i="3" s="1"/>
  <c r="I112" i="3" s="1"/>
  <c r="J112" i="3" s="1"/>
  <c r="H111" i="3"/>
  <c r="D111" i="3"/>
  <c r="E111" i="3" s="1"/>
  <c r="D110" i="3"/>
  <c r="E110" i="3" s="1"/>
  <c r="J110" i="3" s="1"/>
  <c r="D109" i="3"/>
  <c r="E109" i="3" s="1"/>
  <c r="J109" i="3" s="1"/>
  <c r="D108" i="3"/>
  <c r="E108" i="3" s="1"/>
  <c r="J108" i="3" s="1"/>
  <c r="D107" i="3"/>
  <c r="E107" i="3" s="1"/>
  <c r="J107" i="3" s="1"/>
  <c r="D105" i="3"/>
  <c r="E105" i="3" s="1"/>
  <c r="J105" i="3" s="1"/>
  <c r="D103" i="3"/>
  <c r="E103" i="3" s="1"/>
  <c r="J103" i="3" s="1"/>
  <c r="I102" i="3"/>
  <c r="D102" i="3"/>
  <c r="E102" i="3" s="1"/>
  <c r="I101" i="3"/>
  <c r="D101" i="3"/>
  <c r="E101" i="3" s="1"/>
  <c r="D100" i="3"/>
  <c r="E100" i="3" s="1"/>
  <c r="J100" i="3" s="1"/>
  <c r="D99" i="3"/>
  <c r="H89" i="3"/>
  <c r="D89" i="3"/>
  <c r="E89" i="3" s="1"/>
  <c r="I89" i="3" s="1"/>
  <c r="J89" i="3" s="1"/>
  <c r="H88" i="3"/>
  <c r="D88" i="3"/>
  <c r="E88" i="3" s="1"/>
  <c r="D87" i="3"/>
  <c r="E87" i="3" s="1"/>
  <c r="J87" i="3" s="1"/>
  <c r="D86" i="3"/>
  <c r="E86" i="3" s="1"/>
  <c r="J86" i="3" s="1"/>
  <c r="D85" i="3"/>
  <c r="E85" i="3" s="1"/>
  <c r="J85" i="3" s="1"/>
  <c r="D84" i="3"/>
  <c r="E84" i="3" s="1"/>
  <c r="J84" i="3" s="1"/>
  <c r="D82" i="3"/>
  <c r="E82" i="3" s="1"/>
  <c r="J82" i="3" s="1"/>
  <c r="D80" i="3"/>
  <c r="E80" i="3" s="1"/>
  <c r="J80" i="3" s="1"/>
  <c r="I79" i="3"/>
  <c r="D79" i="3"/>
  <c r="E79" i="3" s="1"/>
  <c r="I78" i="3"/>
  <c r="D78" i="3"/>
  <c r="E78" i="3" s="1"/>
  <c r="D77" i="3"/>
  <c r="E77" i="3" s="1"/>
  <c r="J77" i="3" s="1"/>
  <c r="D76" i="3"/>
  <c r="H66" i="3"/>
  <c r="D66" i="3"/>
  <c r="E66" i="3" s="1"/>
  <c r="I66" i="3" s="1"/>
  <c r="J66" i="3" s="1"/>
  <c r="H65" i="3"/>
  <c r="D65" i="3"/>
  <c r="E65" i="3" s="1"/>
  <c r="D64" i="3"/>
  <c r="E64" i="3" s="1"/>
  <c r="J64" i="3" s="1"/>
  <c r="D63" i="3"/>
  <c r="E63" i="3" s="1"/>
  <c r="J63" i="3" s="1"/>
  <c r="D62" i="3"/>
  <c r="E62" i="3" s="1"/>
  <c r="J62" i="3" s="1"/>
  <c r="D61" i="3"/>
  <c r="E61" i="3" s="1"/>
  <c r="J61" i="3" s="1"/>
  <c r="D59" i="3"/>
  <c r="E59" i="3" s="1"/>
  <c r="J59" i="3" s="1"/>
  <c r="D57" i="3"/>
  <c r="E57" i="3" s="1"/>
  <c r="J57" i="3" s="1"/>
  <c r="D56" i="3"/>
  <c r="E56" i="3" s="1"/>
  <c r="J56" i="3" s="1"/>
  <c r="D55" i="3"/>
  <c r="E55" i="3" s="1"/>
  <c r="D53" i="3"/>
  <c r="E53" i="3" s="1"/>
  <c r="J53" i="3" s="1"/>
  <c r="D52" i="3"/>
  <c r="H42" i="3"/>
  <c r="D42" i="3"/>
  <c r="E42" i="3" s="1"/>
  <c r="I42" i="3" s="1"/>
  <c r="J42" i="3" s="1"/>
  <c r="H41" i="3"/>
  <c r="D41" i="3"/>
  <c r="E41" i="3" s="1"/>
  <c r="D40" i="3"/>
  <c r="E40" i="3" s="1"/>
  <c r="J40" i="3" s="1"/>
  <c r="D39" i="3"/>
  <c r="E39" i="3" s="1"/>
  <c r="J39" i="3" s="1"/>
  <c r="D38" i="3"/>
  <c r="E38" i="3" s="1"/>
  <c r="J38" i="3" s="1"/>
  <c r="D37" i="3"/>
  <c r="E37" i="3" s="1"/>
  <c r="J37" i="3" s="1"/>
  <c r="D35" i="3"/>
  <c r="E35" i="3" s="1"/>
  <c r="J35" i="3" s="1"/>
  <c r="D33" i="3"/>
  <c r="E33" i="3" s="1"/>
  <c r="J33" i="3" s="1"/>
  <c r="D32" i="3"/>
  <c r="E32" i="3" s="1"/>
  <c r="J32" i="3" s="1"/>
  <c r="D31" i="3"/>
  <c r="E31" i="3" s="1"/>
  <c r="J31" i="3" s="1"/>
  <c r="D30" i="3"/>
  <c r="E30" i="3" s="1"/>
  <c r="J30" i="3" s="1"/>
  <c r="D29" i="3"/>
  <c r="H19" i="3"/>
  <c r="D19" i="3"/>
  <c r="E19" i="3" s="1"/>
  <c r="I19" i="3" s="1"/>
  <c r="J19" i="3" s="1"/>
  <c r="H18" i="3"/>
  <c r="D18" i="3"/>
  <c r="E18" i="3" s="1"/>
  <c r="D17" i="3"/>
  <c r="E17" i="3" s="1"/>
  <c r="J17" i="3" s="1"/>
  <c r="D16" i="3"/>
  <c r="E16" i="3" s="1"/>
  <c r="J16" i="3" s="1"/>
  <c r="D15" i="3"/>
  <c r="E15" i="3" s="1"/>
  <c r="J15" i="3" s="1"/>
  <c r="D14" i="3"/>
  <c r="E14" i="3" s="1"/>
  <c r="J14" i="3" s="1"/>
  <c r="D12" i="3"/>
  <c r="E12" i="3" s="1"/>
  <c r="J12" i="3" s="1"/>
  <c r="D10" i="3"/>
  <c r="E10" i="3" s="1"/>
  <c r="J10" i="3" s="1"/>
  <c r="D9" i="3"/>
  <c r="E9" i="3" s="1"/>
  <c r="J9" i="3" s="1"/>
  <c r="D8" i="3"/>
  <c r="E8" i="3" s="1"/>
  <c r="J8" i="3" s="1"/>
  <c r="D7" i="3"/>
  <c r="E7" i="3" s="1"/>
  <c r="J7" i="3" s="1"/>
  <c r="D6" i="3"/>
  <c r="D24" i="3" l="1"/>
  <c r="D71" i="3"/>
  <c r="J78" i="3"/>
  <c r="J101" i="3"/>
  <c r="D47" i="3"/>
  <c r="D94" i="3"/>
  <c r="J79" i="3"/>
  <c r="D117" i="3"/>
  <c r="J102" i="3"/>
  <c r="I111" i="3"/>
  <c r="I117" i="3" s="1"/>
  <c r="E76" i="3"/>
  <c r="E94" i="3" s="1"/>
  <c r="I88" i="3"/>
  <c r="I94" i="3" s="1"/>
  <c r="I65" i="3"/>
  <c r="J65" i="3" s="1"/>
  <c r="I41" i="3"/>
  <c r="I47" i="3" s="1"/>
  <c r="I18" i="3"/>
  <c r="I24" i="3" s="1"/>
  <c r="E29" i="3"/>
  <c r="E47" i="3" s="1"/>
  <c r="E6" i="3"/>
  <c r="E24" i="3" s="1"/>
  <c r="E52" i="3"/>
  <c r="E71" i="3" s="1"/>
  <c r="E99" i="3"/>
  <c r="I55" i="3"/>
  <c r="J111" i="3" l="1"/>
  <c r="I71" i="3"/>
  <c r="E117" i="3"/>
  <c r="J99" i="3"/>
  <c r="J88" i="3"/>
  <c r="J76" i="3"/>
  <c r="J41" i="3"/>
  <c r="J18" i="3"/>
  <c r="J29" i="3"/>
  <c r="J55" i="3"/>
  <c r="J52" i="3"/>
  <c r="J6" i="3"/>
  <c r="J24" i="3" s="1"/>
  <c r="J47" i="3" l="1"/>
  <c r="J117" i="3"/>
  <c r="J94" i="3"/>
  <c r="J71" i="3"/>
</calcChain>
</file>

<file path=xl/sharedStrings.xml><?xml version="1.0" encoding="utf-8"?>
<sst xmlns="http://schemas.openxmlformats.org/spreadsheetml/2006/main" count="364" uniqueCount="129">
  <si>
    <t>Gujarat 15 MW</t>
  </si>
  <si>
    <t>Export Unit</t>
  </si>
  <si>
    <t>Import Unit</t>
  </si>
  <si>
    <t>Net Unit Billed</t>
  </si>
  <si>
    <t>Bill Amount</t>
  </si>
  <si>
    <t>Bill Date</t>
  </si>
  <si>
    <t>Due Date</t>
  </si>
  <si>
    <t>Received Amount</t>
  </si>
  <si>
    <t>Deduction</t>
  </si>
  <si>
    <t>Payment Received Date</t>
  </si>
  <si>
    <t>Total</t>
  </si>
  <si>
    <t>MP 25 MW</t>
  </si>
  <si>
    <t>ACME Gurgaon Power P Ltd 20 MW</t>
  </si>
  <si>
    <t>Not received</t>
  </si>
  <si>
    <t>Not Due</t>
  </si>
  <si>
    <t>ACME Mumbai Power P Ltd 20 MW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</si>
  <si>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</si>
  <si>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ACME Rajdhani Power P Ltd 20 MW</t>
  </si>
  <si>
    <t>Medha Energy P Ltd 20 MW</t>
  </si>
  <si>
    <t>Ranji Solar Energy P Ltd 20 MW</t>
  </si>
  <si>
    <t>Khairakurd</t>
  </si>
  <si>
    <t>Mankhera</t>
  </si>
  <si>
    <t>Jhandekalan</t>
  </si>
  <si>
    <t>Nangla</t>
  </si>
  <si>
    <t>Junair</t>
  </si>
  <si>
    <t xml:space="preserve">Feeder No. </t>
  </si>
  <si>
    <t xml:space="preserve">BAY No. </t>
  </si>
  <si>
    <t>Feeder 1</t>
  </si>
  <si>
    <t>Feeder 2</t>
  </si>
  <si>
    <t>Period</t>
  </si>
  <si>
    <t>AAROHI SOLAR  50 MW (HINDUPUR)</t>
  </si>
  <si>
    <t>NIRANJANA SOLAR_20_MW (PATHIKONDA)</t>
  </si>
  <si>
    <t>VISHWATMA SOLAR  30 MW (YAMMIGNUR)</t>
  </si>
  <si>
    <t>DAYANIDHI SOLAR 40_MW (SHANTIPURAM)</t>
  </si>
  <si>
    <t>Provisional</t>
  </si>
  <si>
    <t>Gurgaon</t>
  </si>
  <si>
    <t>Mumbai</t>
  </si>
  <si>
    <t>Rajdhani</t>
  </si>
  <si>
    <t>Medha</t>
  </si>
  <si>
    <t>Ranji</t>
  </si>
  <si>
    <t>Odisha</t>
  </si>
  <si>
    <t>Chattisgarh</t>
  </si>
  <si>
    <t>Punjab- MIHIT</t>
  </si>
  <si>
    <t>SECI Rajasthan</t>
  </si>
  <si>
    <t>Punjab- Rooftop</t>
  </si>
  <si>
    <t>Aarohi</t>
  </si>
  <si>
    <t>Jaisalmer Feeder 1</t>
  </si>
  <si>
    <t>Jaisalmer Feeder 2</t>
  </si>
  <si>
    <t>AP</t>
  </si>
  <si>
    <t>Niranjana BAY 01</t>
  </si>
  <si>
    <t>Niranjana BAY 02</t>
  </si>
  <si>
    <t>Dayanidhi</t>
  </si>
  <si>
    <t>Month</t>
  </si>
  <si>
    <t>Location</t>
  </si>
  <si>
    <t>Project</t>
  </si>
  <si>
    <t>Bill Submission Date</t>
  </si>
  <si>
    <t>ACME JAISALMER   20   MW (RAICHOTTI)</t>
  </si>
  <si>
    <t>ACME MAGADH SOLAR  10 MW</t>
  </si>
  <si>
    <t>ACME NALANDA SOLAR  15 MW</t>
  </si>
  <si>
    <t>Billing to be made</t>
  </si>
  <si>
    <t>Date of Commission (COD):</t>
  </si>
  <si>
    <t>Payment Terms :</t>
  </si>
  <si>
    <t>Rebate :</t>
  </si>
  <si>
    <t xml:space="preserve">Late payment: </t>
  </si>
  <si>
    <t>Last day of bill submission month</t>
  </si>
  <si>
    <t xml:space="preserve">if Bill submit with in 10 days, due date will be </t>
  </si>
  <si>
    <t xml:space="preserve">if Bill submit after 10th day of the month Due date will be </t>
  </si>
  <si>
    <t>1.25% Per month - on daily Basis (day or part thereof) if Paid after 60 days from bill due date</t>
  </si>
  <si>
    <t>2%  if Paid within 3 days from bill submission date</t>
  </si>
  <si>
    <t>1%  if Paid after 3 days and before due date</t>
  </si>
  <si>
    <t xml:space="preserve">30th days from  of bill submission date </t>
  </si>
  <si>
    <t>29-09-20916</t>
  </si>
  <si>
    <t>DAYAKARA SOLAR  30 MW</t>
  </si>
  <si>
    <t>GRAHATI SOLAR  50 MW</t>
  </si>
  <si>
    <t>Devision</t>
  </si>
  <si>
    <t>North 40 %</t>
  </si>
  <si>
    <t>South 60 %</t>
  </si>
  <si>
    <t>Start Date of Monitoring Period</t>
  </si>
  <si>
    <t>End Date of Monitoring Period</t>
  </si>
  <si>
    <t>Number of Days for Current Monitoring Period</t>
  </si>
  <si>
    <t>Annual (365 Days) estimation as per Registered PDD</t>
  </si>
  <si>
    <t>Eminent Solar Power Pvt Ltd.</t>
  </si>
  <si>
    <t>ACME ODISHA- 25 MW</t>
  </si>
  <si>
    <t>ACME RAIPUR- 30 MW</t>
  </si>
  <si>
    <t>MIHIT SOLAR- 74 MW</t>
  </si>
  <si>
    <t>BAY01</t>
  </si>
  <si>
    <t>BAY02</t>
  </si>
  <si>
    <t>Capacity (MW)</t>
  </si>
  <si>
    <t>Invoice Values (kWh)</t>
  </si>
  <si>
    <t>Export Unit (kWh)</t>
  </si>
  <si>
    <t>Import Unit (kWh)</t>
  </si>
  <si>
    <t>Net Unit Billed (kWh)</t>
  </si>
  <si>
    <t xml:space="preserve"> </t>
  </si>
  <si>
    <t>Net Electricity Supplied to Grid during Monitoring Period (MWh)</t>
  </si>
  <si>
    <t>ER Estimation for Current Monitoirng Period based on operational days</t>
  </si>
  <si>
    <t>SL No.</t>
  </si>
  <si>
    <t>SPVs</t>
  </si>
  <si>
    <t>State</t>
  </si>
  <si>
    <t>Telangana</t>
  </si>
  <si>
    <t>Andhra Pradesh</t>
  </si>
  <si>
    <t>Mihit Solar Power Private Ltd. 25 MW</t>
  </si>
  <si>
    <t>Mihit Solar Power Private Ltd. 24 MW</t>
  </si>
  <si>
    <t>ACME Jaisalmer Solar Power Pvt. Ltd.</t>
  </si>
  <si>
    <t>Aarohi Solar Pvt. Ltd.</t>
  </si>
  <si>
    <t>Dayanidhi Solar Power Pvt. Ltd.</t>
  </si>
  <si>
    <t>Niranjana Solar Energy Pvt. Ltd.</t>
  </si>
  <si>
    <t>Vishwatma Solar Energy Pvt Ltd.</t>
  </si>
  <si>
    <t>Acme Raipur Solar Power Pvt. Ltd.</t>
  </si>
  <si>
    <t>Dayakara Solar Power Pvt Ltd</t>
  </si>
  <si>
    <t>Grahati Solar  Energy Pvt Ltd</t>
  </si>
  <si>
    <t>Acme Odisha Solar Power Pvt Ltd</t>
  </si>
  <si>
    <t>Punjab</t>
  </si>
  <si>
    <t>Chattishgarh</t>
  </si>
  <si>
    <t>Uttrakhand</t>
  </si>
  <si>
    <t>Net Generations (MWh)</t>
  </si>
  <si>
    <t>Net Generations (kWh)</t>
  </si>
  <si>
    <t>SOLAR GROUPED PROJECT BY ACME GROUP (EKIESL-VCS-AUG-16-01)</t>
  </si>
  <si>
    <t>Project Title :- 
VCS 1580</t>
  </si>
  <si>
    <r>
      <t>Grid Emission Factor (tCO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e)</t>
    </r>
  </si>
  <si>
    <t>Net Billed (kWh)</t>
  </si>
  <si>
    <t>EMINENT SOLAR  12.5 MW</t>
  </si>
  <si>
    <t>Export Invoice (kWh)</t>
  </si>
  <si>
    <t>Import Invoice (kWh)</t>
  </si>
  <si>
    <t>Kherakurd</t>
  </si>
  <si>
    <t>Total Emission Reductions</t>
  </si>
  <si>
    <t>Percentage change in emission reductions</t>
  </si>
  <si>
    <t>Emission Reduction (TCO2e)</t>
  </si>
  <si>
    <t>Percentage change of Estimations</t>
  </si>
  <si>
    <t>SPV Wise Emission Reduction estimation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</si>
</sst>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-* #,##0.00_-;\-* #,##0.00_-;_-* &quot;-&quot;??_-;_-@_-"/>
    <numFmt numFmtId="168" formatCode="[$-409]d/mmm/yy;@"/>
    <numFmt numFmtId="169" formatCode="_(* #,##0.0_);_(* \(#,##0.0\);_(* &quot;-&quot;?_);_(@_)"/>
    <numFmt numFmtId="170" formatCode="0.0"/>
    <numFmt numFmtId="171" formatCode="0.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9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35">
    <xf numFmtId="0" fontId="0" fillId="0" borderId="0" xfId="0"/>
    <xf numFmtId="0" fontId="4" fillId="0" borderId="0" xfId="0" applyFont="1"/>
    <xf numFmtId="0" fontId="0" fillId="0" borderId="1" xfId="0" applyBorder="1"/>
    <xf numFmtId="165" fontId="3" fillId="2" borderId="1" xfId="1" applyNumberFormat="1" applyFont="1" applyFill="1" applyBorder="1"/>
    <xf numFmtId="165" fontId="5" fillId="0" borderId="1" xfId="1" applyNumberFormat="1" applyFont="1" applyFill="1" applyBorder="1"/>
    <xf numFmtId="165" fontId="5" fillId="0" borderId="1" xfId="1" applyNumberFormat="1" applyFont="1" applyFill="1" applyBorder="1" applyAlignment="1">
      <alignment horizontal="right"/>
    </xf>
    <xf numFmtId="165" fontId="0" fillId="0" borderId="1" xfId="1" applyNumberFormat="1" applyFont="1" applyBorder="1"/>
    <xf numFmtId="15" fontId="0" fillId="0" borderId="1" xfId="0" applyNumberFormat="1" applyBorder="1"/>
    <xf numFmtId="165" fontId="0" fillId="0" borderId="1" xfId="1" applyNumberFormat="1" applyFont="1" applyFill="1" applyBorder="1"/>
    <xf numFmtId="15" fontId="0" fillId="0" borderId="1" xfId="0" applyNumberForma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15" fontId="5" fillId="0" borderId="1" xfId="0" applyNumberFormat="1" applyFont="1" applyBorder="1"/>
    <xf numFmtId="165" fontId="3" fillId="2" borderId="1" xfId="1" applyNumberFormat="1" applyFont="1" applyFill="1" applyBorder="1" applyAlignment="1">
      <alignment wrapText="1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7" fontId="3" fillId="0" borderId="1" xfId="0" applyNumberFormat="1" applyFont="1" applyBorder="1"/>
    <xf numFmtId="165" fontId="5" fillId="0" borderId="2" xfId="1" applyNumberFormat="1" applyFont="1" applyBorder="1" applyAlignment="1">
      <alignment horizontal="center" vertical="center"/>
    </xf>
    <xf numFmtId="15" fontId="0" fillId="0" borderId="1" xfId="0" applyNumberFormat="1" applyFill="1" applyBorder="1"/>
    <xf numFmtId="0" fontId="2" fillId="0" borderId="1" xfId="0" applyFont="1" applyFill="1" applyBorder="1" applyAlignment="1">
      <alignment horizontal="left"/>
    </xf>
    <xf numFmtId="15" fontId="0" fillId="0" borderId="1" xfId="0" applyNumberFormat="1" applyFill="1" applyBorder="1" applyAlignment="1">
      <alignment horizontal="left"/>
    </xf>
    <xf numFmtId="15" fontId="0" fillId="0" borderId="1" xfId="0" applyNumberForma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right"/>
    </xf>
    <xf numFmtId="165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4" fontId="0" fillId="0" borderId="0" xfId="0" applyNumberFormat="1"/>
    <xf numFmtId="15" fontId="0" fillId="0" borderId="1" xfId="0" applyNumberForma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166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166" fontId="5" fillId="0" borderId="2" xfId="1" applyNumberFormat="1" applyFont="1" applyBorder="1" applyAlignment="1">
      <alignment horizontal="center" vertical="center"/>
    </xf>
    <xf numFmtId="166" fontId="0" fillId="0" borderId="1" xfId="1" applyNumberFormat="1" applyFont="1" applyBorder="1"/>
    <xf numFmtId="166" fontId="0" fillId="0" borderId="1" xfId="1" applyNumberFormat="1" applyFont="1" applyFill="1" applyBorder="1"/>
    <xf numFmtId="167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7" fontId="3" fillId="0" borderId="2" xfId="0" applyNumberFormat="1" applyFont="1" applyBorder="1"/>
    <xf numFmtId="165" fontId="5" fillId="0" borderId="2" xfId="1" applyNumberFormat="1" applyFont="1" applyBorder="1" applyAlignment="1">
      <alignment horizontal="center" vertical="center"/>
    </xf>
    <xf numFmtId="0" fontId="0" fillId="0" borderId="0" xfId="0" applyFill="1" applyBorder="1"/>
    <xf numFmtId="165" fontId="3" fillId="0" borderId="0" xfId="1" applyNumberFormat="1" applyFont="1" applyFill="1" applyBorder="1"/>
    <xf numFmtId="0" fontId="0" fillId="0" borderId="0" xfId="0" applyFill="1"/>
    <xf numFmtId="165" fontId="5" fillId="0" borderId="2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165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" fontId="3" fillId="0" borderId="1" xfId="0" applyNumberFormat="1" applyFont="1" applyBorder="1" applyAlignment="1">
      <alignment horizontal="right"/>
    </xf>
    <xf numFmtId="0" fontId="0" fillId="0" borderId="0" xfId="0" applyBorder="1"/>
    <xf numFmtId="0" fontId="6" fillId="0" borderId="1" xfId="0" applyFont="1" applyBorder="1"/>
    <xf numFmtId="17" fontId="0" fillId="0" borderId="1" xfId="0" applyNumberFormat="1" applyFont="1" applyBorder="1"/>
    <xf numFmtId="17" fontId="0" fillId="0" borderId="2" xfId="0" applyNumberFormat="1" applyFont="1" applyBorder="1"/>
    <xf numFmtId="165" fontId="0" fillId="0" borderId="1" xfId="1" applyNumberFormat="1" applyFont="1" applyBorder="1" applyAlignment="1">
      <alignment horizontal="left" vertical="center"/>
    </xf>
    <xf numFmtId="17" fontId="0" fillId="0" borderId="1" xfId="0" applyNumberFormat="1" applyFont="1" applyBorder="1" applyAlignment="1">
      <alignment horizontal="right"/>
    </xf>
    <xf numFmtId="0" fontId="0" fillId="0" borderId="0" xfId="0" applyFont="1"/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/>
    <xf numFmtId="0" fontId="0" fillId="0" borderId="8" xfId="0" applyFill="1" applyBorder="1" applyAlignment="1">
      <alignment horizontal="center" vertical="center" wrapText="1"/>
    </xf>
    <xf numFmtId="17" fontId="0" fillId="0" borderId="7" xfId="0" applyNumberFormat="1" applyFont="1" applyBorder="1" applyAlignment="1">
      <alignment horizontal="right"/>
    </xf>
    <xf numFmtId="0" fontId="0" fillId="0" borderId="8" xfId="0" applyBorder="1"/>
    <xf numFmtId="17" fontId="0" fillId="0" borderId="7" xfId="0" applyNumberFormat="1" applyFont="1" applyBorder="1"/>
    <xf numFmtId="0" fontId="6" fillId="0" borderId="9" xfId="0" applyFont="1" applyBorder="1"/>
    <xf numFmtId="17" fontId="0" fillId="0" borderId="10" xfId="0" applyNumberFormat="1" applyFont="1" applyBorder="1"/>
    <xf numFmtId="17" fontId="0" fillId="0" borderId="11" xfId="0" applyNumberFormat="1" applyFont="1" applyBorder="1" applyAlignment="1">
      <alignment horizontal="right"/>
    </xf>
    <xf numFmtId="17" fontId="0" fillId="0" borderId="11" xfId="0" applyNumberFormat="1" applyFont="1" applyBorder="1"/>
    <xf numFmtId="165" fontId="0" fillId="0" borderId="11" xfId="1" applyNumberFormat="1" applyFont="1" applyBorder="1" applyAlignment="1">
      <alignment horizontal="center" vertical="center"/>
    </xf>
    <xf numFmtId="165" fontId="0" fillId="0" borderId="11" xfId="1" applyNumberFormat="1" applyFont="1" applyBorder="1"/>
    <xf numFmtId="165" fontId="0" fillId="0" borderId="11" xfId="1" applyNumberFormat="1" applyFont="1" applyFill="1" applyBorder="1"/>
    <xf numFmtId="15" fontId="0" fillId="0" borderId="11" xfId="0" applyNumberFormat="1" applyFill="1" applyBorder="1"/>
    <xf numFmtId="15" fontId="0" fillId="0" borderId="11" xfId="0" applyNumberFormat="1" applyFill="1" applyBorder="1" applyAlignment="1">
      <alignment horizontal="right"/>
    </xf>
    <xf numFmtId="0" fontId="0" fillId="0" borderId="12" xfId="0" applyBorder="1"/>
    <xf numFmtId="165" fontId="3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5" fontId="5" fillId="0" borderId="2" xfId="1" applyNumberFormat="1" applyFont="1" applyBorder="1" applyAlignment="1">
      <alignment horizontal="center" vertical="center"/>
    </xf>
    <xf numFmtId="165" fontId="0" fillId="0" borderId="3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8" fontId="5" fillId="0" borderId="1" xfId="0" applyNumberFormat="1" applyFont="1" applyFill="1" applyBorder="1" applyAlignment="1">
      <alignment horizontal="left" wrapText="1"/>
    </xf>
    <xf numFmtId="4" fontId="0" fillId="0" borderId="0" xfId="0" applyNumberFormat="1" applyAlignment="1">
      <alignment wrapText="1"/>
    </xf>
    <xf numFmtId="14" fontId="5" fillId="0" borderId="1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wrapText="1"/>
    </xf>
    <xf numFmtId="168" fontId="2" fillId="0" borderId="1" xfId="0" applyNumberFormat="1" applyFont="1" applyFill="1" applyBorder="1" applyAlignment="1">
      <alignment horizontal="left" wrapText="1"/>
    </xf>
    <xf numFmtId="15" fontId="0" fillId="0" borderId="0" xfId="0" applyNumberFormat="1"/>
    <xf numFmtId="14" fontId="0" fillId="0" borderId="0" xfId="0" applyNumberFormat="1"/>
    <xf numFmtId="15" fontId="0" fillId="0" borderId="1" xfId="0" applyNumberFormat="1" applyFill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7" fillId="0" borderId="0" xfId="0" applyFont="1"/>
    <xf numFmtId="0" fontId="7" fillId="0" borderId="13" xfId="0" applyFont="1" applyBorder="1"/>
    <xf numFmtId="15" fontId="3" fillId="0" borderId="1" xfId="0" applyNumberFormat="1" applyFont="1" applyFill="1" applyBorder="1" applyAlignment="1">
      <alignment horizontal="right"/>
    </xf>
    <xf numFmtId="165" fontId="5" fillId="0" borderId="2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0" fontId="8" fillId="0" borderId="0" xfId="2"/>
    <xf numFmtId="0" fontId="0" fillId="0" borderId="1" xfId="0" applyFont="1" applyBorder="1"/>
    <xf numFmtId="0" fontId="0" fillId="0" borderId="0" xfId="0" applyAlignment="1">
      <alignment vertical="center" wrapText="1"/>
    </xf>
    <xf numFmtId="43" fontId="0" fillId="0" borderId="0" xfId="0" applyNumberFormat="1"/>
    <xf numFmtId="0" fontId="0" fillId="0" borderId="6" xfId="0" applyBorder="1"/>
    <xf numFmtId="165" fontId="3" fillId="2" borderId="21" xfId="1" applyNumberFormat="1" applyFont="1" applyFill="1" applyBorder="1" applyAlignment="1">
      <alignment horizontal="center"/>
    </xf>
    <xf numFmtId="165" fontId="3" fillId="2" borderId="22" xfId="1" applyNumberFormat="1" applyFont="1" applyFill="1" applyBorder="1" applyAlignment="1">
      <alignment horizontal="center"/>
    </xf>
    <xf numFmtId="165" fontId="3" fillId="2" borderId="23" xfId="1" applyNumberFormat="1" applyFont="1" applyFill="1" applyBorder="1" applyAlignment="1">
      <alignment horizontal="center"/>
    </xf>
    <xf numFmtId="165" fontId="3" fillId="2" borderId="23" xfId="1" applyNumberFormat="1" applyFont="1" applyFill="1" applyBorder="1" applyAlignment="1">
      <alignment horizontal="center" vertical="center" wrapText="1"/>
    </xf>
    <xf numFmtId="17" fontId="0" fillId="0" borderId="17" xfId="0" applyNumberFormat="1" applyFont="1" applyBorder="1" applyAlignment="1">
      <alignment horizontal="center"/>
    </xf>
    <xf numFmtId="165" fontId="0" fillId="0" borderId="1" xfId="0" applyNumberFormat="1" applyBorder="1"/>
    <xf numFmtId="0" fontId="0" fillId="3" borderId="0" xfId="0" applyFill="1"/>
    <xf numFmtId="0" fontId="3" fillId="0" borderId="26" xfId="0" applyFont="1" applyBorder="1" applyAlignment="1">
      <alignment horizontal="center"/>
    </xf>
    <xf numFmtId="0" fontId="8" fillId="0" borderId="14" xfId="2" applyBorder="1"/>
    <xf numFmtId="0" fontId="8" fillId="0" borderId="0" xfId="2" applyBorder="1"/>
    <xf numFmtId="15" fontId="8" fillId="0" borderId="0" xfId="2" applyNumberFormat="1"/>
    <xf numFmtId="2" fontId="8" fillId="0" borderId="0" xfId="2" applyNumberFormat="1"/>
    <xf numFmtId="0" fontId="8" fillId="0" borderId="16" xfId="2" applyBorder="1"/>
    <xf numFmtId="3" fontId="8" fillId="0" borderId="0" xfId="2" applyNumberFormat="1"/>
    <xf numFmtId="0" fontId="8" fillId="0" borderId="0" xfId="2" applyAlignment="1">
      <alignment horizontal="center" vertical="center"/>
    </xf>
    <xf numFmtId="0" fontId="10" fillId="4" borderId="33" xfId="8" applyFont="1" applyFill="1" applyBorder="1" applyAlignment="1">
      <alignment horizontal="center" vertical="center" wrapText="1"/>
    </xf>
    <xf numFmtId="0" fontId="10" fillId="4" borderId="30" xfId="8" applyFont="1" applyFill="1" applyBorder="1" applyAlignment="1">
      <alignment horizontal="center" vertical="center" wrapText="1"/>
    </xf>
    <xf numFmtId="0" fontId="10" fillId="4" borderId="14" xfId="8" applyFont="1" applyFill="1" applyBorder="1" applyAlignment="1">
      <alignment horizontal="center" vertical="center" wrapText="1"/>
    </xf>
    <xf numFmtId="0" fontId="10" fillId="4" borderId="26" xfId="8" applyFont="1" applyFill="1" applyBorder="1" applyAlignment="1">
      <alignment horizontal="center" vertical="center" wrapText="1"/>
    </xf>
    <xf numFmtId="0" fontId="8" fillId="0" borderId="34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0" fillId="0" borderId="7" xfId="0" applyFont="1" applyBorder="1"/>
    <xf numFmtId="0" fontId="0" fillId="0" borderId="10" xfId="0" applyFont="1" applyBorder="1"/>
    <xf numFmtId="0" fontId="0" fillId="0" borderId="11" xfId="0" applyFont="1" applyBorder="1"/>
    <xf numFmtId="0" fontId="13" fillId="0" borderId="36" xfId="8" applyFont="1" applyFill="1" applyBorder="1" applyAlignment="1"/>
    <xf numFmtId="164" fontId="8" fillId="0" borderId="0" xfId="2" applyNumberFormat="1"/>
    <xf numFmtId="169" fontId="8" fillId="0" borderId="0" xfId="2" applyNumberFormat="1"/>
    <xf numFmtId="0" fontId="12" fillId="0" borderId="0" xfId="2" applyFont="1" applyBorder="1" applyAlignment="1">
      <alignment horizontal="center" vertical="center"/>
    </xf>
    <xf numFmtId="165" fontId="8" fillId="0" borderId="0" xfId="1" applyNumberFormat="1" applyFont="1" applyBorder="1"/>
    <xf numFmtId="165" fontId="3" fillId="2" borderId="26" xfId="1" applyNumberFormat="1" applyFont="1" applyFill="1" applyBorder="1" applyAlignment="1">
      <alignment horizontal="center" vertical="center" wrapText="1"/>
    </xf>
    <xf numFmtId="165" fontId="3" fillId="2" borderId="21" xfId="1" applyNumberFormat="1" applyFont="1" applyFill="1" applyBorder="1" applyAlignment="1">
      <alignment horizontal="center" vertical="center" wrapText="1"/>
    </xf>
    <xf numFmtId="165" fontId="3" fillId="2" borderId="2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5" fontId="3" fillId="2" borderId="26" xfId="1" applyNumberFormat="1" applyFont="1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/>
    <xf numFmtId="0" fontId="15" fillId="0" borderId="13" xfId="2" applyFont="1" applyBorder="1"/>
    <xf numFmtId="0" fontId="15" fillId="0" borderId="14" xfId="2" applyFont="1" applyBorder="1"/>
    <xf numFmtId="0" fontId="15" fillId="0" borderId="9" xfId="2" applyFont="1" applyBorder="1"/>
    <xf numFmtId="0" fontId="15" fillId="0" borderId="0" xfId="2" applyFont="1" applyBorder="1"/>
    <xf numFmtId="0" fontId="15" fillId="0" borderId="15" xfId="2" applyFont="1" applyBorder="1"/>
    <xf numFmtId="170" fontId="17" fillId="0" borderId="36" xfId="2" applyNumberFormat="1" applyFont="1" applyBorder="1"/>
    <xf numFmtId="165" fontId="15" fillId="0" borderId="36" xfId="1" applyNumberFormat="1" applyFont="1" applyBorder="1"/>
    <xf numFmtId="0" fontId="15" fillId="0" borderId="0" xfId="2" applyFont="1"/>
    <xf numFmtId="165" fontId="0" fillId="0" borderId="16" xfId="0" applyNumberFormat="1" applyBorder="1"/>
    <xf numFmtId="165" fontId="0" fillId="3" borderId="40" xfId="1" applyNumberFormat="1" applyFont="1" applyFill="1" applyBorder="1" applyAlignment="1">
      <alignment horizontal="center"/>
    </xf>
    <xf numFmtId="165" fontId="0" fillId="0" borderId="40" xfId="1" applyNumberFormat="1" applyFont="1" applyBorder="1" applyAlignment="1">
      <alignment horizontal="center"/>
    </xf>
    <xf numFmtId="165" fontId="1" fillId="0" borderId="40" xfId="1" applyNumberFormat="1" applyFont="1" applyBorder="1" applyAlignment="1">
      <alignment horizontal="center"/>
    </xf>
    <xf numFmtId="165" fontId="1" fillId="0" borderId="39" xfId="1" applyNumberFormat="1" applyFont="1" applyBorder="1" applyAlignment="1">
      <alignment horizontal="center"/>
    </xf>
    <xf numFmtId="1" fontId="15" fillId="0" borderId="1" xfId="2" applyNumberFormat="1" applyFont="1" applyBorder="1"/>
    <xf numFmtId="1" fontId="15" fillId="0" borderId="11" xfId="2" applyNumberFormat="1" applyFont="1" applyBorder="1"/>
    <xf numFmtId="165" fontId="9" fillId="3" borderId="23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3" fillId="0" borderId="2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17" fontId="0" fillId="0" borderId="7" xfId="0" applyNumberFormat="1" applyFont="1" applyBorder="1" applyAlignment="1">
      <alignment horizontal="center"/>
    </xf>
    <xf numFmtId="0" fontId="0" fillId="0" borderId="26" xfId="0" applyBorder="1"/>
    <xf numFmtId="165" fontId="9" fillId="3" borderId="21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1" fillId="2" borderId="26" xfId="1" applyNumberFormat="1" applyFont="1" applyFill="1" applyBorder="1" applyAlignment="1">
      <alignment vertical="center" wrapText="1"/>
    </xf>
    <xf numFmtId="165" fontId="3" fillId="2" borderId="22" xfId="1" applyNumberFormat="1" applyFont="1" applyFill="1" applyBorder="1" applyAlignment="1">
      <alignment horizontal="center" wrapText="1"/>
    </xf>
    <xf numFmtId="165" fontId="3" fillId="2" borderId="23" xfId="1" applyNumberFormat="1" applyFont="1" applyFill="1" applyBorder="1" applyAlignment="1">
      <alignment horizontal="center" wrapText="1"/>
    </xf>
    <xf numFmtId="165" fontId="0" fillId="0" borderId="43" xfId="1" applyNumberFormat="1" applyFont="1" applyBorder="1" applyAlignment="1">
      <alignment horizontal="center"/>
    </xf>
    <xf numFmtId="165" fontId="3" fillId="3" borderId="21" xfId="1" applyNumberFormat="1" applyFont="1" applyFill="1" applyBorder="1" applyAlignment="1">
      <alignment horizontal="center" vertical="center" wrapText="1"/>
    </xf>
    <xf numFmtId="165" fontId="3" fillId="3" borderId="22" xfId="1" applyNumberFormat="1" applyFont="1" applyFill="1" applyBorder="1" applyAlignment="1">
      <alignment horizontal="center" wrapText="1"/>
    </xf>
    <xf numFmtId="165" fontId="3" fillId="3" borderId="37" xfId="1" applyNumberFormat="1" applyFont="1" applyFill="1" applyBorder="1" applyAlignment="1">
      <alignment horizontal="center" wrapText="1"/>
    </xf>
    <xf numFmtId="165" fontId="9" fillId="3" borderId="27" xfId="0" applyNumberFormat="1" applyFont="1" applyFill="1" applyBorder="1" applyAlignment="1">
      <alignment horizontal="center" vertical="center" wrapText="1"/>
    </xf>
    <xf numFmtId="165" fontId="3" fillId="2" borderId="21" xfId="1" applyNumberFormat="1" applyFont="1" applyFill="1" applyBorder="1" applyAlignment="1">
      <alignment horizontal="center" wrapText="1"/>
    </xf>
    <xf numFmtId="0" fontId="7" fillId="0" borderId="9" xfId="0" applyFont="1" applyBorder="1"/>
    <xf numFmtId="165" fontId="0" fillId="0" borderId="1" xfId="0" applyNumberFormat="1" applyBorder="1" applyAlignment="1">
      <alignment horizontal="center"/>
    </xf>
    <xf numFmtId="0" fontId="3" fillId="0" borderId="26" xfId="0" applyFont="1" applyBorder="1"/>
    <xf numFmtId="0" fontId="10" fillId="4" borderId="32" xfId="8" applyFont="1" applyFill="1" applyBorder="1" applyAlignment="1">
      <alignment horizontal="center" vertical="center" wrapText="1"/>
    </xf>
    <xf numFmtId="1" fontId="18" fillId="3" borderId="1" xfId="8" applyNumberFormat="1" applyFont="1" applyFill="1" applyBorder="1" applyAlignment="1">
      <alignment horizontal="right" vertical="center" wrapText="1"/>
    </xf>
    <xf numFmtId="165" fontId="1" fillId="0" borderId="43" xfId="1" applyNumberFormat="1" applyFont="1" applyBorder="1" applyAlignment="1">
      <alignment horizontal="center"/>
    </xf>
    <xf numFmtId="165" fontId="3" fillId="2" borderId="26" xfId="1" applyNumberFormat="1" applyFont="1" applyFill="1" applyBorder="1" applyAlignment="1">
      <alignment horizontal="center" vertical="center"/>
    </xf>
    <xf numFmtId="0" fontId="18" fillId="3" borderId="9" xfId="8" applyFont="1" applyFill="1" applyBorder="1" applyAlignment="1">
      <alignment horizontal="center" vertical="center" wrapText="1"/>
    </xf>
    <xf numFmtId="165" fontId="3" fillId="2" borderId="27" xfId="1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17" fontId="0" fillId="0" borderId="17" xfId="0" applyNumberForma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17" fontId="1" fillId="3" borderId="2" xfId="0" applyNumberFormat="1" applyFont="1" applyFill="1" applyBorder="1" applyAlignment="1">
      <alignment horizontal="center"/>
    </xf>
    <xf numFmtId="17" fontId="0" fillId="0" borderId="28" xfId="0" applyNumberFormat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165" fontId="1" fillId="3" borderId="3" xfId="1" applyNumberFormat="1" applyFont="1" applyFill="1" applyBorder="1" applyAlignment="1">
      <alignment horizontal="center"/>
    </xf>
    <xf numFmtId="17" fontId="0" fillId="3" borderId="1" xfId="0" applyNumberFormat="1" applyFill="1" applyBorder="1" applyAlignment="1">
      <alignment horizontal="center"/>
    </xf>
    <xf numFmtId="17" fontId="0" fillId="3" borderId="3" xfId="0" applyNumberFormat="1" applyFill="1" applyBorder="1" applyAlignment="1">
      <alignment horizontal="center"/>
    </xf>
    <xf numFmtId="165" fontId="0" fillId="3" borderId="41" xfId="1" applyNumberFormat="1" applyFont="1" applyFill="1" applyBorder="1" applyAlignment="1">
      <alignment horizontal="center"/>
    </xf>
    <xf numFmtId="2" fontId="0" fillId="3" borderId="40" xfId="1" applyNumberFormat="1" applyFont="1" applyFill="1" applyBorder="1" applyAlignment="1">
      <alignment horizontal="center"/>
    </xf>
    <xf numFmtId="1" fontId="0" fillId="3" borderId="40" xfId="1" applyNumberFormat="1" applyFont="1" applyFill="1" applyBorder="1" applyAlignment="1">
      <alignment horizontal="center"/>
    </xf>
    <xf numFmtId="2" fontId="0" fillId="3" borderId="3" xfId="1" applyNumberFormat="1" applyFont="1" applyFill="1" applyBorder="1" applyAlignment="1">
      <alignment horizontal="center"/>
    </xf>
    <xf numFmtId="2" fontId="0" fillId="0" borderId="3" xfId="0" applyNumberFormat="1" applyBorder="1"/>
    <xf numFmtId="2" fontId="3" fillId="2" borderId="22" xfId="1" applyNumberFormat="1" applyFont="1" applyFill="1" applyBorder="1" applyAlignment="1">
      <alignment horizontal="center"/>
    </xf>
    <xf numFmtId="2" fontId="3" fillId="2" borderId="23" xfId="1" applyNumberFormat="1" applyFont="1" applyFill="1" applyBorder="1" applyAlignment="1">
      <alignment horizontal="center"/>
    </xf>
    <xf numFmtId="2" fontId="3" fillId="2" borderId="21" xfId="1" applyNumberFormat="1" applyFont="1" applyFill="1" applyBorder="1" applyAlignment="1">
      <alignment horizontal="center"/>
    </xf>
    <xf numFmtId="2" fontId="3" fillId="2" borderId="30" xfId="1" applyNumberFormat="1" applyFont="1" applyFill="1" applyBorder="1" applyAlignment="1">
      <alignment horizontal="center"/>
    </xf>
    <xf numFmtId="17" fontId="1" fillId="0" borderId="2" xfId="0" applyNumberFormat="1" applyFont="1" applyFill="1" applyBorder="1" applyAlignment="1">
      <alignment horizontal="center"/>
    </xf>
    <xf numFmtId="17" fontId="1" fillId="0" borderId="20" xfId="0" applyNumberFormat="1" applyFont="1" applyFill="1" applyBorder="1" applyAlignment="1">
      <alignment horizontal="center"/>
    </xf>
    <xf numFmtId="17" fontId="0" fillId="3" borderId="4" xfId="0" applyNumberFormat="1" applyFill="1" applyBorder="1" applyAlignment="1">
      <alignment horizontal="center"/>
    </xf>
    <xf numFmtId="1" fontId="0" fillId="0" borderId="3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/>
    </xf>
    <xf numFmtId="1" fontId="5" fillId="0" borderId="4" xfId="1" applyNumberFormat="1" applyFont="1" applyFill="1" applyBorder="1" applyAlignment="1">
      <alignment horizontal="center" vertical="center"/>
    </xf>
    <xf numFmtId="1" fontId="5" fillId="0" borderId="5" xfId="1" applyNumberFormat="1" applyFont="1" applyFill="1" applyBorder="1" applyAlignment="1">
      <alignment horizontal="center" vertical="center"/>
    </xf>
    <xf numFmtId="1" fontId="5" fillId="0" borderId="7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" fontId="5" fillId="0" borderId="7" xfId="1" applyNumberFormat="1" applyFont="1" applyFill="1" applyBorder="1" applyAlignment="1">
      <alignment horizontal="center"/>
    </xf>
    <xf numFmtId="1" fontId="5" fillId="0" borderId="11" xfId="1" applyNumberFormat="1" applyFont="1" applyFill="1" applyBorder="1" applyAlignment="1">
      <alignment horizontal="center"/>
    </xf>
    <xf numFmtId="1" fontId="0" fillId="0" borderId="11" xfId="1" applyNumberFormat="1" applyFont="1" applyFill="1" applyBorder="1" applyAlignment="1">
      <alignment horizontal="center" vertical="center"/>
    </xf>
    <xf numFmtId="165" fontId="0" fillId="0" borderId="3" xfId="1" applyNumberFormat="1" applyFont="1" applyFill="1" applyBorder="1" applyAlignment="1">
      <alignment horizontal="center" vertical="center"/>
    </xf>
    <xf numFmtId="165" fontId="0" fillId="0" borderId="41" xfId="1" applyNumberFormat="1" applyFont="1" applyFill="1" applyBorder="1"/>
    <xf numFmtId="165" fontId="5" fillId="0" borderId="3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2" fontId="0" fillId="0" borderId="3" xfId="1" applyNumberFormat="1" applyFont="1" applyFill="1" applyBorder="1"/>
    <xf numFmtId="2" fontId="5" fillId="0" borderId="2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0" fillId="0" borderId="1" xfId="1" applyNumberFormat="1" applyFont="1" applyFill="1" applyBorder="1"/>
    <xf numFmtId="2" fontId="0" fillId="0" borderId="3" xfId="1" applyNumberFormat="1" applyFont="1" applyFill="1" applyBorder="1" applyAlignment="1">
      <alignment horizontal="center"/>
    </xf>
    <xf numFmtId="2" fontId="0" fillId="0" borderId="3" xfId="1" applyNumberFormat="1" applyFont="1" applyFill="1" applyBorder="1" applyAlignment="1">
      <alignment horizontal="center" vertical="center"/>
    </xf>
    <xf numFmtId="2" fontId="1" fillId="0" borderId="1" xfId="1" applyNumberFormat="1" applyFont="1" applyFill="1" applyBorder="1"/>
    <xf numFmtId="2" fontId="0" fillId="0" borderId="1" xfId="1" applyNumberFormat="1" applyFont="1" applyFill="1" applyBorder="1" applyAlignment="1">
      <alignment horizontal="center" vertical="center"/>
    </xf>
    <xf numFmtId="2" fontId="0" fillId="0" borderId="40" xfId="1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1" fontId="5" fillId="0" borderId="3" xfId="1" applyNumberFormat="1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17" fontId="0" fillId="0" borderId="34" xfId="0" applyNumberFormat="1" applyFont="1" applyBorder="1" applyAlignment="1">
      <alignment horizontal="center"/>
    </xf>
    <xf numFmtId="17" fontId="0" fillId="0" borderId="35" xfId="0" applyNumberFormat="1" applyFont="1" applyBorder="1" applyAlignment="1">
      <alignment horizontal="center"/>
    </xf>
    <xf numFmtId="1" fontId="5" fillId="0" borderId="17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/>
    </xf>
    <xf numFmtId="165" fontId="5" fillId="3" borderId="41" xfId="0" applyNumberFormat="1" applyFont="1" applyFill="1" applyBorder="1" applyAlignment="1">
      <alignment horizontal="center" vertical="center"/>
    </xf>
    <xf numFmtId="17" fontId="0" fillId="3" borderId="11" xfId="0" applyNumberFormat="1" applyFill="1" applyBorder="1" applyAlignment="1">
      <alignment horizontal="center"/>
    </xf>
    <xf numFmtId="165" fontId="0" fillId="3" borderId="45" xfId="1" applyNumberFormat="1" applyFont="1" applyFill="1" applyBorder="1" applyAlignment="1">
      <alignment horizontal="center"/>
    </xf>
    <xf numFmtId="17" fontId="0" fillId="3" borderId="15" xfId="1" applyNumberFormat="1" applyFont="1" applyFill="1" applyBorder="1" applyAlignment="1">
      <alignment horizontal="center"/>
    </xf>
    <xf numFmtId="17" fontId="0" fillId="3" borderId="16" xfId="0" applyNumberFormat="1" applyFill="1" applyBorder="1" applyAlignment="1">
      <alignment horizontal="center"/>
    </xf>
    <xf numFmtId="165" fontId="5" fillId="3" borderId="16" xfId="1" applyNumberFormat="1" applyFont="1" applyFill="1" applyBorder="1" applyAlignment="1">
      <alignment horizontal="center" vertical="center"/>
    </xf>
    <xf numFmtId="165" fontId="1" fillId="3" borderId="25" xfId="1" applyNumberFormat="1" applyFont="1" applyFill="1" applyBorder="1" applyAlignment="1">
      <alignment horizontal="center"/>
    </xf>
    <xf numFmtId="165" fontId="0" fillId="0" borderId="40" xfId="1" applyNumberFormat="1" applyFont="1" applyFill="1" applyBorder="1" applyAlignment="1">
      <alignment horizontal="center"/>
    </xf>
    <xf numFmtId="17" fontId="0" fillId="0" borderId="35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17" fontId="0" fillId="0" borderId="17" xfId="0" applyNumberFormat="1" applyFill="1" applyBorder="1" applyAlignment="1">
      <alignment horizontal="center"/>
    </xf>
    <xf numFmtId="165" fontId="0" fillId="0" borderId="3" xfId="1" applyNumberFormat="1" applyFont="1" applyBorder="1"/>
    <xf numFmtId="165" fontId="3" fillId="2" borderId="30" xfId="1" applyNumberFormat="1" applyFont="1" applyFill="1" applyBorder="1" applyAlignment="1">
      <alignment horizontal="center" wrapText="1"/>
    </xf>
    <xf numFmtId="17" fontId="0" fillId="0" borderId="7" xfId="0" applyNumberFormat="1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17" fontId="0" fillId="0" borderId="17" xfId="0" applyNumberFormat="1" applyFont="1" applyFill="1" applyBorder="1" applyAlignment="1">
      <alignment horizontal="center"/>
    </xf>
    <xf numFmtId="17" fontId="0" fillId="0" borderId="7" xfId="0" applyNumberFormat="1" applyFont="1" applyFill="1" applyBorder="1" applyAlignment="1">
      <alignment horizontal="center"/>
    </xf>
    <xf numFmtId="17" fontId="0" fillId="0" borderId="44" xfId="0" applyNumberFormat="1" applyFont="1" applyFill="1" applyBorder="1" applyAlignment="1">
      <alignment horizontal="center"/>
    </xf>
    <xf numFmtId="165" fontId="0" fillId="0" borderId="41" xfId="1" applyNumberFormat="1" applyFont="1" applyBorder="1"/>
    <xf numFmtId="165" fontId="0" fillId="0" borderId="18" xfId="1" applyNumberFormat="1" applyFont="1" applyBorder="1"/>
    <xf numFmtId="17" fontId="0" fillId="0" borderId="46" xfId="0" applyNumberFormat="1" applyFill="1" applyBorder="1" applyAlignment="1">
      <alignment horizontal="center"/>
    </xf>
    <xf numFmtId="165" fontId="0" fillId="0" borderId="47" xfId="1" applyNumberFormat="1" applyFont="1" applyBorder="1" applyAlignment="1">
      <alignment horizontal="center"/>
    </xf>
    <xf numFmtId="165" fontId="0" fillId="0" borderId="48" xfId="1" applyNumberFormat="1" applyFont="1" applyBorder="1"/>
    <xf numFmtId="165" fontId="3" fillId="2" borderId="26" xfId="1" applyNumberFormat="1" applyFont="1" applyFill="1" applyBorder="1" applyAlignment="1"/>
    <xf numFmtId="165" fontId="5" fillId="0" borderId="47" xfId="1" applyNumberFormat="1" applyFont="1" applyBorder="1" applyAlignment="1">
      <alignment horizontal="center" vertical="center"/>
    </xf>
    <xf numFmtId="165" fontId="0" fillId="0" borderId="2" xfId="1" applyNumberFormat="1" applyFont="1" applyBorder="1"/>
    <xf numFmtId="165" fontId="3" fillId="0" borderId="30" xfId="0" applyNumberFormat="1" applyFont="1" applyBorder="1"/>
    <xf numFmtId="0" fontId="0" fillId="0" borderId="15" xfId="0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2" fontId="3" fillId="0" borderId="30" xfId="0" applyNumberFormat="1" applyFont="1" applyBorder="1"/>
    <xf numFmtId="165" fontId="3" fillId="2" borderId="26" xfId="1" applyNumberFormat="1" applyFont="1" applyFill="1" applyBorder="1" applyAlignment="1">
      <alignment horizontal="center"/>
    </xf>
    <xf numFmtId="2" fontId="3" fillId="2" borderId="29" xfId="1" applyNumberFormat="1" applyFont="1" applyFill="1" applyBorder="1" applyAlignment="1">
      <alignment horizontal="center"/>
    </xf>
    <xf numFmtId="0" fontId="9" fillId="0" borderId="24" xfId="8" applyFont="1" applyFill="1" applyBorder="1" applyAlignment="1"/>
    <xf numFmtId="10" fontId="0" fillId="0" borderId="0" xfId="6" applyNumberFormat="1" applyFont="1"/>
    <xf numFmtId="0" fontId="3" fillId="3" borderId="0" xfId="0" applyFont="1" applyFill="1"/>
    <xf numFmtId="165" fontId="3" fillId="2" borderId="15" xfId="1" applyNumberFormat="1" applyFont="1" applyFill="1" applyBorder="1" applyAlignment="1">
      <alignment horizontal="center" vertical="center" wrapText="1"/>
    </xf>
    <xf numFmtId="165" fontId="3" fillId="2" borderId="24" xfId="1" applyNumberFormat="1" applyFont="1" applyFill="1" applyBorder="1" applyAlignment="1">
      <alignment horizontal="center" vertical="center" wrapText="1"/>
    </xf>
    <xf numFmtId="165" fontId="3" fillId="2" borderId="25" xfId="1" applyNumberFormat="1" applyFont="1" applyFill="1" applyBorder="1" applyAlignment="1">
      <alignment horizontal="center" vertical="center" wrapText="1"/>
    </xf>
    <xf numFmtId="165" fontId="3" fillId="2" borderId="49" xfId="1" applyNumberFormat="1" applyFont="1" applyFill="1" applyBorder="1" applyAlignment="1">
      <alignment horizontal="center" vertical="center" wrapText="1"/>
    </xf>
    <xf numFmtId="165" fontId="3" fillId="2" borderId="45" xfId="1" applyNumberFormat="1" applyFont="1" applyFill="1" applyBorder="1" applyAlignment="1">
      <alignment horizontal="center" vertical="center" wrapText="1"/>
    </xf>
    <xf numFmtId="165" fontId="3" fillId="2" borderId="31" xfId="1" applyNumberFormat="1" applyFont="1" applyFill="1" applyBorder="1" applyAlignment="1">
      <alignment horizontal="center" vertical="center" wrapText="1"/>
    </xf>
    <xf numFmtId="0" fontId="3" fillId="5" borderId="26" xfId="0" applyFont="1" applyFill="1" applyBorder="1"/>
    <xf numFmtId="10" fontId="0" fillId="0" borderId="0" xfId="6" applyNumberFormat="1" applyFont="1" applyBorder="1"/>
    <xf numFmtId="1" fontId="0" fillId="0" borderId="42" xfId="1" applyNumberFormat="1" applyFont="1" applyFill="1" applyBorder="1" applyAlignment="1">
      <alignment horizontal="center" vertical="center"/>
    </xf>
    <xf numFmtId="1" fontId="0" fillId="0" borderId="18" xfId="1" applyNumberFormat="1" applyFont="1" applyFill="1" applyBorder="1" applyAlignment="1">
      <alignment horizontal="center" vertical="center"/>
    </xf>
    <xf numFmtId="0" fontId="3" fillId="0" borderId="27" xfId="0" applyFont="1" applyBorder="1"/>
    <xf numFmtId="1" fontId="0" fillId="0" borderId="41" xfId="1" applyNumberFormat="1" applyFont="1" applyFill="1" applyBorder="1" applyAlignment="1">
      <alignment horizontal="center" vertical="center"/>
    </xf>
    <xf numFmtId="1" fontId="0" fillId="0" borderId="19" xfId="1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3" fillId="0" borderId="30" xfId="0" applyFont="1" applyBorder="1" applyAlignment="1">
      <alignment horizontal="center" vertical="center" wrapText="1"/>
    </xf>
    <xf numFmtId="1" fontId="0" fillId="0" borderId="50" xfId="0" applyNumberFormat="1" applyBorder="1"/>
    <xf numFmtId="1" fontId="5" fillId="0" borderId="20" xfId="1" applyNumberFormat="1" applyFont="1" applyFill="1" applyBorder="1" applyAlignment="1">
      <alignment horizontal="center" vertical="center"/>
    </xf>
    <xf numFmtId="1" fontId="0" fillId="0" borderId="3" xfId="1" applyNumberFormat="1" applyFont="1" applyFill="1" applyBorder="1"/>
    <xf numFmtId="1" fontId="5" fillId="0" borderId="2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/>
    <xf numFmtId="2" fontId="0" fillId="0" borderId="41" xfId="1" applyNumberFormat="1" applyFont="1" applyFill="1" applyBorder="1" applyAlignment="1">
      <alignment horizontal="center"/>
    </xf>
    <xf numFmtId="165" fontId="0" fillId="3" borderId="3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2" fontId="0" fillId="0" borderId="0" xfId="6" applyNumberFormat="1" applyFont="1" applyBorder="1"/>
    <xf numFmtId="14" fontId="17" fillId="3" borderId="6" xfId="2" applyNumberFormat="1" applyFont="1" applyFill="1" applyBorder="1" applyAlignment="1">
      <alignment horizontal="right"/>
    </xf>
    <xf numFmtId="14" fontId="17" fillId="3" borderId="8" xfId="2" applyNumberFormat="1" applyFont="1" applyFill="1" applyBorder="1" applyAlignment="1">
      <alignment horizontal="right"/>
    </xf>
    <xf numFmtId="1" fontId="15" fillId="3" borderId="8" xfId="1" applyNumberFormat="1" applyFont="1" applyFill="1" applyBorder="1" applyAlignment="1">
      <alignment horizontal="right"/>
    </xf>
    <xf numFmtId="165" fontId="15" fillId="3" borderId="8" xfId="1" applyNumberFormat="1" applyFont="1" applyFill="1" applyBorder="1" applyAlignment="1">
      <alignment horizontal="right"/>
    </xf>
    <xf numFmtId="2" fontId="15" fillId="3" borderId="8" xfId="1" applyNumberFormat="1" applyFont="1" applyFill="1" applyBorder="1" applyAlignment="1">
      <alignment horizontal="right"/>
    </xf>
    <xf numFmtId="171" fontId="15" fillId="3" borderId="8" xfId="1" applyNumberFormat="1" applyFont="1" applyFill="1" applyBorder="1" applyAlignment="1">
      <alignment horizontal="right"/>
    </xf>
    <xf numFmtId="165" fontId="1" fillId="3" borderId="8" xfId="6" applyNumberFormat="1" applyFont="1" applyFill="1" applyBorder="1" applyAlignment="1">
      <alignment horizontal="right"/>
    </xf>
    <xf numFmtId="0" fontId="8" fillId="0" borderId="12" xfId="2" applyBorder="1"/>
    <xf numFmtId="0" fontId="8" fillId="0" borderId="6" xfId="2" applyBorder="1"/>
    <xf numFmtId="0" fontId="8" fillId="0" borderId="8" xfId="2" applyBorder="1"/>
    <xf numFmtId="10" fontId="15" fillId="0" borderId="12" xfId="6" applyNumberFormat="1" applyFont="1" applyBorder="1"/>
    <xf numFmtId="2" fontId="5" fillId="0" borderId="1" xfId="1" applyNumberFormat="1" applyFont="1" applyFill="1" applyBorder="1" applyAlignment="1">
      <alignment horizontal="center"/>
    </xf>
    <xf numFmtId="0" fontId="10" fillId="4" borderId="51" xfId="8" applyFont="1" applyFill="1" applyBorder="1" applyAlignment="1">
      <alignment horizontal="center" vertical="center" wrapText="1"/>
    </xf>
    <xf numFmtId="1" fontId="0" fillId="0" borderId="1" xfId="0" applyNumberFormat="1" applyBorder="1"/>
    <xf numFmtId="10" fontId="8" fillId="0" borderId="1" xfId="6" applyNumberFormat="1" applyFont="1" applyBorder="1" applyAlignment="1">
      <alignment horizontal="center" vertical="center"/>
    </xf>
    <xf numFmtId="10" fontId="12" fillId="0" borderId="0" xfId="2" applyNumberFormat="1" applyFont="1"/>
    <xf numFmtId="1" fontId="3" fillId="0" borderId="1" xfId="0" applyNumberFormat="1" applyFont="1" applyBorder="1"/>
    <xf numFmtId="3" fontId="0" fillId="0" borderId="0" xfId="0" applyNumberFormat="1"/>
    <xf numFmtId="0" fontId="14" fillId="0" borderId="26" xfId="7" applyFont="1" applyBorder="1" applyAlignment="1">
      <alignment horizontal="left" vertical="center" wrapText="1"/>
    </xf>
    <xf numFmtId="0" fontId="14" fillId="0" borderId="27" xfId="7" applyFont="1" applyBorder="1" applyAlignment="1">
      <alignment horizontal="left" vertical="center"/>
    </xf>
    <xf numFmtId="0" fontId="11" fillId="0" borderId="26" xfId="7" applyFont="1" applyBorder="1" applyAlignment="1">
      <alignment horizontal="center" vertical="center" wrapText="1"/>
    </xf>
    <xf numFmtId="0" fontId="11" fillId="0" borderId="29" xfId="7" applyFont="1" applyBorder="1" applyAlignment="1">
      <alignment horizontal="center" vertical="center" wrapText="1"/>
    </xf>
    <xf numFmtId="0" fontId="11" fillId="0" borderId="27" xfId="7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</cellXfs>
  <cellStyles count="9">
    <cellStyle name="Comma" xfId="1" builtinId="3"/>
    <cellStyle name="Comma 2" xfId="3" xr:uid="{00000000-0005-0000-0000-000001000000}"/>
    <cellStyle name="Normal" xfId="0" builtinId="0"/>
    <cellStyle name="Normal 16" xfId="8" xr:uid="{00000000-0005-0000-0000-000003000000}"/>
    <cellStyle name="Normal 17" xfId="7" xr:uid="{00000000-0005-0000-0000-000004000000}"/>
    <cellStyle name="Normal 2" xfId="2" xr:uid="{00000000-0005-0000-0000-000005000000}"/>
    <cellStyle name="Normal 3" xfId="4" xr:uid="{00000000-0005-0000-0000-000006000000}"/>
    <cellStyle name="Percent" xfId="6" builtinId="5"/>
    <cellStyle name="Percent 2" xfId="5" xr:uid="{00000000-0005-0000-0000-000008000000}"/>
  </cellStyles>
  <dxfs count="10"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2" formatCode="mmm/yy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2" formatCode="mmm/yy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34</xdr:row>
      <xdr:rowOff>47620</xdr:rowOff>
    </xdr:from>
    <xdr:ext cx="4829175" cy="3594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72C20CD-2C20-4CF2-BFFC-62FE21A75F9D}"/>
            </a:ext>
          </a:extLst>
        </xdr:cNvPr>
        <xdr:cNvSpPr txBox="1"/>
      </xdr:nvSpPr>
      <xdr:spPr>
        <a:xfrm>
          <a:off x="647700" y="10837540"/>
          <a:ext cx="4829175" cy="359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800" b="0" i="0">
              <a:solidFill>
                <a:srgbClr val="FF0000"/>
              </a:solidFill>
              <a:latin typeface="Arial Rounded MT Bold" pitchFamily="34" charset="0"/>
            </a:rPr>
            <a:t>NIRANJANA SOLAR 20 MW (PATIKONDA)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7:G54" totalsRowShown="0" headerRowDxfId="9" dataDxfId="7" headerRowBorderDxfId="8" tableBorderDxfId="6">
  <tableColumns count="6">
    <tableColumn id="1" xr3:uid="{00000000-0010-0000-0000-000001000000}" name="Month" dataDxfId="5"/>
    <tableColumn id="2" xr3:uid="{00000000-0010-0000-0000-000002000000}" name="Feeder No. " dataDxfId="4"/>
    <tableColumn id="3" xr3:uid="{00000000-0010-0000-0000-000003000000}" name="Export Unit (kWh)" dataDxfId="3"/>
    <tableColumn id="4" xr3:uid="{00000000-0010-0000-0000-000004000000}" name="Import Unit (kWh)" dataDxfId="2"/>
    <tableColumn id="5" xr3:uid="{00000000-0010-0000-0000-000005000000}" name="Net Unit Billed (kWh)" dataDxfId="1">
      <calculatedColumnFormula>D18-E18</calculatedColumnFormula>
    </tableColumn>
    <tableColumn id="6" xr3:uid="{00000000-0010-0000-0000-000006000000}" name="Invoice Values (kWh)" dataDxfId="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topLeftCell="A11" zoomScaleNormal="100" workbookViewId="0">
      <selection activeCell="G20" sqref="G20"/>
    </sheetView>
  </sheetViews>
  <sheetFormatPr defaultColWidth="9.109375" defaultRowHeight="13.2"/>
  <cols>
    <col min="1" max="1" width="10.5546875" style="100" customWidth="1"/>
    <col min="2" max="2" width="7.5546875" style="100" customWidth="1"/>
    <col min="3" max="3" width="41.44140625" style="100" customWidth="1"/>
    <col min="4" max="4" width="14.88671875" style="100" customWidth="1"/>
    <col min="5" max="5" width="9.109375" style="100"/>
    <col min="6" max="6" width="12" style="100" customWidth="1"/>
    <col min="7" max="7" width="15" style="100" bestFit="1" customWidth="1"/>
    <col min="8" max="8" width="12.5546875" style="100" bestFit="1" customWidth="1"/>
    <col min="9" max="9" width="11.33203125" style="100" customWidth="1"/>
    <col min="10" max="10" width="14.44140625" style="100" customWidth="1"/>
    <col min="11" max="16384" width="9.109375" style="100"/>
  </cols>
  <sheetData>
    <row r="1" spans="1:11" ht="30.75" customHeight="1" thickBot="1">
      <c r="A1" s="316" t="s">
        <v>117</v>
      </c>
      <c r="B1" s="317"/>
      <c r="C1" s="318" t="s">
        <v>116</v>
      </c>
      <c r="D1" s="319"/>
      <c r="E1" s="319"/>
      <c r="F1" s="319"/>
      <c r="G1" s="320"/>
    </row>
    <row r="2" spans="1:11" ht="13.8" thickBot="1"/>
    <row r="3" spans="1:11" ht="13.8">
      <c r="C3" s="141" t="s">
        <v>77</v>
      </c>
      <c r="D3" s="142"/>
      <c r="E3" s="113"/>
      <c r="F3" s="306"/>
      <c r="G3" s="298">
        <v>44197</v>
      </c>
    </row>
    <row r="4" spans="1:11" ht="13.8">
      <c r="C4" s="143" t="s">
        <v>78</v>
      </c>
      <c r="D4" s="144"/>
      <c r="E4" s="114"/>
      <c r="F4" s="307"/>
      <c r="G4" s="299">
        <v>44439</v>
      </c>
    </row>
    <row r="5" spans="1:11" ht="13.8">
      <c r="C5" s="143" t="s">
        <v>79</v>
      </c>
      <c r="D5" s="144"/>
      <c r="E5" s="114"/>
      <c r="F5" s="307"/>
      <c r="G5" s="300">
        <f>G4-G3+1</f>
        <v>243</v>
      </c>
    </row>
    <row r="6" spans="1:11" ht="13.8">
      <c r="C6" s="143" t="s">
        <v>80</v>
      </c>
      <c r="D6" s="144"/>
      <c r="E6" s="114"/>
      <c r="F6" s="307"/>
      <c r="G6" s="301">
        <v>730457</v>
      </c>
      <c r="H6" s="115"/>
    </row>
    <row r="7" spans="1:11" ht="13.8">
      <c r="C7" s="143" t="s">
        <v>93</v>
      </c>
      <c r="D7" s="144"/>
      <c r="E7" s="114"/>
      <c r="F7" s="307"/>
      <c r="G7" s="302">
        <f>SUM(Punjab!E13+Punjab!J13+Punjab!O13+AP!I13+AP!J13+AP!K13+AP!L13+AP!M13+Odisha!E13+CG!E13+Telangana!E13+Telangana!E26+Uttarakhand!E13)/1000</f>
        <v>467988.08</v>
      </c>
      <c r="H7" s="116"/>
    </row>
    <row r="8" spans="1:11" ht="13.8">
      <c r="C8" s="143" t="s">
        <v>94</v>
      </c>
      <c r="D8" s="144"/>
      <c r="E8" s="114"/>
      <c r="F8" s="307"/>
      <c r="G8" s="301">
        <f>G27</f>
        <v>483851</v>
      </c>
      <c r="H8" s="115"/>
    </row>
    <row r="9" spans="1:11" ht="15">
      <c r="C9" s="143" t="s">
        <v>118</v>
      </c>
      <c r="D9" s="144"/>
      <c r="E9" s="114"/>
      <c r="F9" s="307"/>
      <c r="G9" s="303">
        <v>0.97770000000000001</v>
      </c>
      <c r="H9" s="116"/>
    </row>
    <row r="10" spans="1:11" ht="14.4">
      <c r="C10" s="143" t="s">
        <v>124</v>
      </c>
      <c r="D10" s="144"/>
      <c r="E10" s="114"/>
      <c r="F10" s="307"/>
      <c r="G10" s="304">
        <f>F27</f>
        <v>457545</v>
      </c>
    </row>
    <row r="11" spans="1:11" ht="14.4" thickBot="1">
      <c r="C11" s="145" t="s">
        <v>125</v>
      </c>
      <c r="D11" s="117"/>
      <c r="E11" s="117"/>
      <c r="F11" s="305"/>
      <c r="G11" s="308">
        <f>(G10-G8)/G8</f>
        <v>-5.4399999999999997E-2</v>
      </c>
    </row>
    <row r="12" spans="1:11" ht="15" thickBot="1">
      <c r="F12" s="118"/>
      <c r="G12"/>
      <c r="I12"/>
      <c r="J12"/>
      <c r="K12"/>
    </row>
    <row r="13" spans="1:11" s="119" customFormat="1" ht="58.2" thickBot="1">
      <c r="B13" s="120" t="s">
        <v>95</v>
      </c>
      <c r="C13" s="121" t="s">
        <v>96</v>
      </c>
      <c r="D13" s="122" t="s">
        <v>97</v>
      </c>
      <c r="E13" s="123" t="s">
        <v>87</v>
      </c>
      <c r="F13" s="176" t="s">
        <v>126</v>
      </c>
      <c r="G13" s="310" t="s">
        <v>128</v>
      </c>
      <c r="H13" s="310" t="s">
        <v>127</v>
      </c>
      <c r="I13"/>
      <c r="J13"/>
      <c r="K13"/>
    </row>
    <row r="14" spans="1:11" s="119" customFormat="1" ht="14.4">
      <c r="B14" s="180">
        <v>1</v>
      </c>
      <c r="C14" s="126" t="s">
        <v>100</v>
      </c>
      <c r="D14" s="101" t="s">
        <v>111</v>
      </c>
      <c r="E14" s="101">
        <v>25</v>
      </c>
      <c r="F14" s="177">
        <f>ROUNDDOWN(Punjab!E13/1000*G9,0)</f>
        <v>24323</v>
      </c>
      <c r="G14" s="311">
        <f>ROUNDDOWN((E14*0.19*24*$G$5)*$G$9,0)</f>
        <v>27084</v>
      </c>
      <c r="H14" s="312">
        <f>(F14-G14)/G14</f>
        <v>-0.1019</v>
      </c>
      <c r="I14"/>
      <c r="J14"/>
      <c r="K14"/>
    </row>
    <row r="15" spans="1:11" ht="14.4">
      <c r="A15"/>
      <c r="B15" s="125">
        <v>2</v>
      </c>
      <c r="C15" s="126" t="s">
        <v>100</v>
      </c>
      <c r="D15" s="101" t="s">
        <v>111</v>
      </c>
      <c r="E15" s="101">
        <v>25</v>
      </c>
      <c r="F15" s="177">
        <f>ROUNDDOWN(Punjab!J13/1000*G9,0)</f>
        <v>25000</v>
      </c>
      <c r="G15" s="311">
        <f>ROUNDDOWN((E15*0.19*24*$G$5)*$G$9,0)</f>
        <v>27084</v>
      </c>
      <c r="H15" s="312">
        <f t="shared" ref="H15:H26" si="0">(F15-G15)/G15</f>
        <v>-7.6899999999999996E-2</v>
      </c>
      <c r="I15"/>
      <c r="J15"/>
      <c r="K15"/>
    </row>
    <row r="16" spans="1:11" ht="14.4">
      <c r="A16"/>
      <c r="B16" s="125">
        <v>3</v>
      </c>
      <c r="C16" s="126" t="s">
        <v>101</v>
      </c>
      <c r="D16" s="101" t="s">
        <v>111</v>
      </c>
      <c r="E16" s="101">
        <v>24</v>
      </c>
      <c r="F16" s="177">
        <f>ROUNDDOWN(Punjab!O13/1000*G9,0)</f>
        <v>26241</v>
      </c>
      <c r="G16" s="311">
        <f>ROUNDDOWN((E16*0.19*24*$G$5)*$G$9,0)</f>
        <v>26000</v>
      </c>
      <c r="H16" s="312">
        <f t="shared" si="0"/>
        <v>9.2999999999999992E-3</v>
      </c>
      <c r="I16"/>
      <c r="J16"/>
      <c r="K16"/>
    </row>
    <row r="17" spans="1:12" ht="14.4">
      <c r="A17"/>
      <c r="B17" s="124">
        <v>4</v>
      </c>
      <c r="C17" s="126" t="s">
        <v>102</v>
      </c>
      <c r="D17" s="101" t="s">
        <v>99</v>
      </c>
      <c r="E17" s="101">
        <v>20</v>
      </c>
      <c r="F17" s="154">
        <f>ROUNDDOWN(G9*AP!J13/1000,0)</f>
        <v>25948</v>
      </c>
      <c r="G17" s="311">
        <f>ROUNDDOWN((E17*0.2534*24*$G$5)*$G$9,0)</f>
        <v>28897</v>
      </c>
      <c r="H17" s="312">
        <f t="shared" si="0"/>
        <v>-0.1021</v>
      </c>
      <c r="I17"/>
      <c r="J17"/>
      <c r="K17"/>
      <c r="L17" s="130"/>
    </row>
    <row r="18" spans="1:12" ht="14.4">
      <c r="A18"/>
      <c r="B18" s="125">
        <v>5</v>
      </c>
      <c r="C18" s="126" t="s">
        <v>103</v>
      </c>
      <c r="D18" s="101" t="s">
        <v>99</v>
      </c>
      <c r="E18" s="101">
        <v>50</v>
      </c>
      <c r="F18" s="154">
        <f>ROUNDDOWN(AP!I13/1000*G9,0)</f>
        <v>62203</v>
      </c>
      <c r="G18" s="311">
        <f>ROUNDDOWN((E18*0.2452*24*$G$5)*$G$9,0)</f>
        <v>69905</v>
      </c>
      <c r="H18" s="312">
        <f t="shared" si="0"/>
        <v>-0.11020000000000001</v>
      </c>
      <c r="I18"/>
      <c r="J18"/>
      <c r="K18"/>
    </row>
    <row r="19" spans="1:12" ht="14.4">
      <c r="A19"/>
      <c r="B19" s="125">
        <v>6</v>
      </c>
      <c r="C19" s="126" t="s">
        <v>104</v>
      </c>
      <c r="D19" s="101" t="s">
        <v>99</v>
      </c>
      <c r="E19" s="101">
        <v>40</v>
      </c>
      <c r="F19" s="154">
        <f>ROUNDDOWN(AP!L13/1000*G9,0)</f>
        <v>50433</v>
      </c>
      <c r="G19" s="311">
        <f>ROUNDDOWN((E19*0.2301*24*$G$5)*$G$9,0)</f>
        <v>52480</v>
      </c>
      <c r="H19" s="312">
        <f t="shared" si="0"/>
        <v>-3.9E-2</v>
      </c>
      <c r="I19"/>
      <c r="J19"/>
      <c r="K19"/>
    </row>
    <row r="20" spans="1:12" ht="14.4">
      <c r="A20"/>
      <c r="B20" s="124">
        <v>7</v>
      </c>
      <c r="C20" s="126" t="s">
        <v>105</v>
      </c>
      <c r="D20" s="101" t="s">
        <v>99</v>
      </c>
      <c r="E20" s="101">
        <v>20</v>
      </c>
      <c r="F20" s="154">
        <f>ROUNDDOWN(AP!K13/1000*G9,0)</f>
        <v>24363</v>
      </c>
      <c r="G20" s="311">
        <f>ROUNDDOWN((E20*0.2448*24*$G$5)*$G$9,0)</f>
        <v>27916</v>
      </c>
      <c r="H20" s="312">
        <f t="shared" si="0"/>
        <v>-0.1273</v>
      </c>
      <c r="I20"/>
      <c r="J20"/>
      <c r="K20"/>
    </row>
    <row r="21" spans="1:12" ht="14.4">
      <c r="A21"/>
      <c r="B21" s="125">
        <v>8</v>
      </c>
      <c r="C21" s="126" t="s">
        <v>106</v>
      </c>
      <c r="D21" s="101" t="s">
        <v>99</v>
      </c>
      <c r="E21" s="101">
        <v>30</v>
      </c>
      <c r="F21" s="154">
        <f>ROUNDDOWN(AP!M13/1000*G9,0)</f>
        <v>38318</v>
      </c>
      <c r="G21" s="311">
        <f>ROUNDDOWN((E21*0.2222*24*$G$5)*$G$9,0)</f>
        <v>38009</v>
      </c>
      <c r="H21" s="312">
        <f t="shared" si="0"/>
        <v>8.0999999999999996E-3</v>
      </c>
      <c r="I21"/>
      <c r="J21"/>
      <c r="K21"/>
    </row>
    <row r="22" spans="1:12" ht="14.4">
      <c r="A22"/>
      <c r="B22" s="125">
        <v>9</v>
      </c>
      <c r="C22" s="126" t="s">
        <v>107</v>
      </c>
      <c r="D22" s="101" t="s">
        <v>112</v>
      </c>
      <c r="E22" s="101">
        <v>30</v>
      </c>
      <c r="F22" s="154">
        <f>ROUNDDOWN(CG!E13/1000*G9,0)</f>
        <v>30841</v>
      </c>
      <c r="G22" s="311">
        <f>ROUNDDOWN((E22*0.2007*24*$G$5)*$G$9,0)</f>
        <v>34331</v>
      </c>
      <c r="H22" s="312">
        <f t="shared" si="0"/>
        <v>-0.1017</v>
      </c>
      <c r="I22" s="132"/>
      <c r="J22" s="133"/>
    </row>
    <row r="23" spans="1:12" ht="14.4">
      <c r="A23"/>
      <c r="B23" s="124">
        <v>10</v>
      </c>
      <c r="C23" s="126" t="s">
        <v>108</v>
      </c>
      <c r="D23" s="101" t="s">
        <v>98</v>
      </c>
      <c r="E23" s="101">
        <v>30</v>
      </c>
      <c r="F23" s="154">
        <f>ROUNDDOWN(SUM(Telangana!E13/1000*G9),0)</f>
        <v>39403</v>
      </c>
      <c r="G23" s="311">
        <f>ROUNDDOWN((E23*0.2332*24*$G$5)*$G$9,0)</f>
        <v>39890</v>
      </c>
      <c r="H23" s="312">
        <f t="shared" si="0"/>
        <v>-1.2200000000000001E-2</v>
      </c>
      <c r="I23" s="132"/>
      <c r="J23" s="133"/>
    </row>
    <row r="24" spans="1:12" ht="14.4">
      <c r="A24"/>
      <c r="B24" s="125">
        <v>11</v>
      </c>
      <c r="C24" s="126" t="s">
        <v>109</v>
      </c>
      <c r="D24" s="101" t="s">
        <v>98</v>
      </c>
      <c r="E24" s="101">
        <v>50</v>
      </c>
      <c r="F24" s="154">
        <f>ROUNDDOWN(Telangana!E26/1000*G9,0)</f>
        <v>65783</v>
      </c>
      <c r="G24" s="311">
        <f>ROUNDDOWN((E24*0.225*24*$G$5)*$G$9,0)</f>
        <v>64146</v>
      </c>
      <c r="H24" s="312">
        <f t="shared" si="0"/>
        <v>2.5499999999999998E-2</v>
      </c>
      <c r="I24" s="132"/>
      <c r="J24" s="133"/>
    </row>
    <row r="25" spans="1:12" ht="14.4">
      <c r="A25"/>
      <c r="B25" s="125">
        <v>12</v>
      </c>
      <c r="C25" s="126" t="s">
        <v>110</v>
      </c>
      <c r="D25" s="101" t="s">
        <v>40</v>
      </c>
      <c r="E25" s="101">
        <v>25</v>
      </c>
      <c r="F25" s="154">
        <f>ROUNDDOWN(SUM(Odisha!E13/1000*G9),0)</f>
        <v>30432</v>
      </c>
      <c r="G25" s="311">
        <f>ROUNDDOWN((E25*0.2303*24*$G$5)*$G$9,0)</f>
        <v>32828</v>
      </c>
      <c r="H25" s="312">
        <f t="shared" si="0"/>
        <v>-7.2999999999999995E-2</v>
      </c>
      <c r="I25" s="132"/>
      <c r="J25" s="133"/>
    </row>
    <row r="26" spans="1:12" ht="15" thickBot="1">
      <c r="A26"/>
      <c r="B26" s="124">
        <v>13</v>
      </c>
      <c r="C26" s="127" t="s">
        <v>81</v>
      </c>
      <c r="D26" s="128" t="s">
        <v>113</v>
      </c>
      <c r="E26" s="128">
        <v>12.5</v>
      </c>
      <c r="F26" s="155">
        <f>ROUNDDOWN(Uttarakhand!E13/1000*G9,0)</f>
        <v>14257</v>
      </c>
      <c r="G26" s="311">
        <f>ROUNDDOWN((E26*0.2144*24*$G$5)*$G$9,0)</f>
        <v>15281</v>
      </c>
      <c r="H26" s="312">
        <f t="shared" si="0"/>
        <v>-6.7000000000000004E-2</v>
      </c>
      <c r="I26" s="132"/>
      <c r="J26" s="133"/>
    </row>
    <row r="27" spans="1:12" ht="15" thickBot="1">
      <c r="C27" s="269" t="s">
        <v>10</v>
      </c>
      <c r="D27" s="129"/>
      <c r="E27" s="146">
        <f>SUM(E14:E26)</f>
        <v>381.5</v>
      </c>
      <c r="F27" s="147">
        <f>ROUNDDOWN(SUM(F14:F26),0)</f>
        <v>457545</v>
      </c>
      <c r="G27" s="314">
        <f>SUM(G14:G26)</f>
        <v>483851</v>
      </c>
      <c r="H27" s="313"/>
    </row>
    <row r="28" spans="1:12" ht="14.4">
      <c r="C28" s="148"/>
      <c r="D28" s="148"/>
      <c r="E28" s="148"/>
      <c r="F28" s="148"/>
      <c r="G28" s="315"/>
      <c r="J28" s="130"/>
    </row>
    <row r="29" spans="1:12">
      <c r="G29" s="118"/>
    </row>
    <row r="30" spans="1:12">
      <c r="G30" s="131"/>
    </row>
  </sheetData>
  <mergeCells count="2">
    <mergeCell ref="A1:B1"/>
    <mergeCell ref="C1:G1"/>
  </mergeCells>
  <phoneticPr fontId="1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B1:G13"/>
  <sheetViews>
    <sheetView workbookViewId="0">
      <selection activeCell="E13" sqref="E13"/>
    </sheetView>
  </sheetViews>
  <sheetFormatPr defaultRowHeight="14.4"/>
  <cols>
    <col min="1" max="1" width="3.44140625" customWidth="1"/>
    <col min="2" max="2" width="14" customWidth="1"/>
    <col min="3" max="3" width="12.44140625" bestFit="1" customWidth="1"/>
    <col min="4" max="4" width="12.6640625" bestFit="1" customWidth="1"/>
    <col min="5" max="5" width="15.6640625" bestFit="1" customWidth="1"/>
    <col min="6" max="6" width="16.5546875" customWidth="1"/>
  </cols>
  <sheetData>
    <row r="1" spans="2:7" ht="15" thickBot="1"/>
    <row r="2" spans="2:7" ht="18.75" customHeight="1">
      <c r="B2" s="327" t="s">
        <v>120</v>
      </c>
      <c r="C2" s="328"/>
      <c r="D2" s="328"/>
      <c r="E2" s="328"/>
      <c r="F2" s="329"/>
    </row>
    <row r="3" spans="2:7" ht="15" thickBot="1">
      <c r="B3" s="330"/>
      <c r="C3" s="331"/>
      <c r="D3" s="331"/>
      <c r="E3" s="331"/>
      <c r="F3" s="332"/>
    </row>
    <row r="4" spans="2:7" s="102" customFormat="1" ht="29.4" thickBot="1">
      <c r="B4" s="134" t="s">
        <v>52</v>
      </c>
      <c r="C4" s="136" t="s">
        <v>1</v>
      </c>
      <c r="D4" s="136" t="s">
        <v>2</v>
      </c>
      <c r="E4" s="108" t="s">
        <v>3</v>
      </c>
      <c r="F4" s="108" t="s">
        <v>88</v>
      </c>
      <c r="G4"/>
    </row>
    <row r="5" spans="2:7">
      <c r="B5" s="109">
        <v>44197</v>
      </c>
      <c r="C5" s="225">
        <v>1105000</v>
      </c>
      <c r="D5" s="225">
        <v>9550</v>
      </c>
      <c r="E5" s="228">
        <f t="shared" ref="E5:E10" si="0">C5-D5</f>
        <v>1095450</v>
      </c>
      <c r="F5" s="220">
        <v>1095450</v>
      </c>
    </row>
    <row r="6" spans="2:7">
      <c r="B6" s="252">
        <v>44228</v>
      </c>
      <c r="C6" s="227">
        <v>1643250</v>
      </c>
      <c r="D6" s="227">
        <v>7750</v>
      </c>
      <c r="E6" s="228">
        <f>C6-D6</f>
        <v>1635500</v>
      </c>
      <c r="F6" s="223">
        <v>1635500</v>
      </c>
    </row>
    <row r="7" spans="2:7">
      <c r="B7" s="252">
        <v>44256</v>
      </c>
      <c r="C7" s="227">
        <v>2039200</v>
      </c>
      <c r="D7" s="227">
        <v>7850</v>
      </c>
      <c r="E7" s="228">
        <f t="shared" si="0"/>
        <v>2031350</v>
      </c>
      <c r="F7" s="223">
        <v>2031350</v>
      </c>
    </row>
    <row r="8" spans="2:7">
      <c r="B8" s="109">
        <v>44287</v>
      </c>
      <c r="C8" s="227">
        <v>2171750</v>
      </c>
      <c r="D8" s="227">
        <v>6550</v>
      </c>
      <c r="E8" s="228">
        <f t="shared" si="0"/>
        <v>2165200</v>
      </c>
      <c r="F8" s="223">
        <v>2165200</v>
      </c>
    </row>
    <row r="9" spans="2:7">
      <c r="B9" s="252">
        <v>44317</v>
      </c>
      <c r="C9" s="227">
        <v>2042300</v>
      </c>
      <c r="D9" s="227">
        <v>6400</v>
      </c>
      <c r="E9" s="228">
        <f t="shared" si="0"/>
        <v>2035900</v>
      </c>
      <c r="F9" s="223">
        <v>2035900</v>
      </c>
    </row>
    <row r="10" spans="2:7">
      <c r="B10" s="252">
        <v>44348</v>
      </c>
      <c r="C10" s="227">
        <v>2074600</v>
      </c>
      <c r="D10" s="227">
        <v>5450</v>
      </c>
      <c r="E10" s="228">
        <f t="shared" si="0"/>
        <v>2069150</v>
      </c>
      <c r="F10" s="223">
        <v>2069150</v>
      </c>
    </row>
    <row r="11" spans="2:7">
      <c r="B11" s="109">
        <v>44378</v>
      </c>
      <c r="C11" s="227">
        <v>1772650</v>
      </c>
      <c r="D11" s="227">
        <v>6600</v>
      </c>
      <c r="E11" s="228">
        <f>C11-D11</f>
        <v>1766050</v>
      </c>
      <c r="F11" s="223">
        <v>1766050</v>
      </c>
    </row>
    <row r="12" spans="2:7" ht="15" thickBot="1">
      <c r="B12" s="252">
        <v>44409</v>
      </c>
      <c r="C12" s="227">
        <v>1790800</v>
      </c>
      <c r="D12" s="227">
        <v>6700</v>
      </c>
      <c r="E12" s="228">
        <f>C12-D12</f>
        <v>1784100</v>
      </c>
      <c r="F12" s="223">
        <v>1784100</v>
      </c>
    </row>
    <row r="13" spans="2:7" ht="15" thickBot="1">
      <c r="B13" s="229" t="s">
        <v>10</v>
      </c>
      <c r="C13" s="197">
        <f>SUM(C5:C12)</f>
        <v>14639550</v>
      </c>
      <c r="D13" s="197">
        <f>SUM(D5:D12)</f>
        <v>56850</v>
      </c>
      <c r="E13" s="197">
        <f>SUM(E5:E12)</f>
        <v>14582700</v>
      </c>
      <c r="F13" s="197">
        <f>SUM(F5:F12)</f>
        <v>14582700</v>
      </c>
    </row>
  </sheetData>
  <mergeCells count="1">
    <mergeCell ref="B2:F3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00B050"/>
  </sheetPr>
  <dimension ref="A1:Q34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2" sqref="G22"/>
    </sheetView>
  </sheetViews>
  <sheetFormatPr defaultRowHeight="14.4"/>
  <cols>
    <col min="1" max="1" width="3.44140625" customWidth="1"/>
    <col min="2" max="2" width="14.5546875" customWidth="1"/>
    <col min="3" max="3" width="11.44140625" bestFit="1" customWidth="1"/>
    <col min="4" max="4" width="11.6640625" bestFit="1" customWidth="1"/>
    <col min="5" max="5" width="13.33203125" customWidth="1"/>
    <col min="6" max="6" width="13.88671875" customWidth="1"/>
    <col min="7" max="7" width="14.44140625" bestFit="1" customWidth="1"/>
    <col min="8" max="8" width="12.109375" customWidth="1"/>
    <col min="9" max="9" width="11.5546875" customWidth="1"/>
    <col min="10" max="10" width="12.44140625" customWidth="1"/>
    <col min="11" max="11" width="13.5546875" customWidth="1"/>
    <col min="12" max="12" width="14.6640625" customWidth="1"/>
    <col min="13" max="13" width="12.33203125" customWidth="1"/>
    <col min="14" max="14" width="11.88671875" customWidth="1"/>
    <col min="15" max="15" width="13.109375" customWidth="1"/>
    <col min="16" max="16" width="11.88671875" customWidth="1"/>
  </cols>
  <sheetData>
    <row r="1" spans="1:17" ht="15" thickBot="1"/>
    <row r="2" spans="1:17" ht="18.600000000000001" thickBot="1">
      <c r="B2" s="321" t="s">
        <v>84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3"/>
    </row>
    <row r="3" spans="1:17" s="271" customFormat="1" ht="15" thickBot="1">
      <c r="A3"/>
      <c r="B3" s="278"/>
      <c r="C3" s="324" t="s">
        <v>22</v>
      </c>
      <c r="D3" s="325"/>
      <c r="E3" s="325"/>
      <c r="F3" s="326"/>
      <c r="G3" s="89"/>
      <c r="H3" s="324" t="s">
        <v>123</v>
      </c>
      <c r="I3" s="325"/>
      <c r="J3" s="325"/>
      <c r="K3" s="326"/>
      <c r="L3" s="89"/>
      <c r="M3" s="324" t="s">
        <v>21</v>
      </c>
      <c r="N3" s="325"/>
      <c r="O3" s="325"/>
      <c r="P3" s="326"/>
    </row>
    <row r="4" spans="1:17" s="137" customFormat="1" ht="47.25" customHeight="1" thickBot="1">
      <c r="B4" s="272" t="s">
        <v>52</v>
      </c>
      <c r="C4" s="273" t="s">
        <v>89</v>
      </c>
      <c r="D4" s="274" t="s">
        <v>90</v>
      </c>
      <c r="E4" s="274" t="s">
        <v>91</v>
      </c>
      <c r="F4" s="275" t="s">
        <v>88</v>
      </c>
      <c r="G4" s="48"/>
      <c r="H4" s="273" t="s">
        <v>89</v>
      </c>
      <c r="I4" s="276" t="s">
        <v>90</v>
      </c>
      <c r="J4" s="277" t="s">
        <v>91</v>
      </c>
      <c r="K4" s="275" t="s">
        <v>88</v>
      </c>
      <c r="L4" s="48"/>
      <c r="M4" s="273" t="s">
        <v>89</v>
      </c>
      <c r="N4" s="276" t="s">
        <v>90</v>
      </c>
      <c r="O4" s="277" t="s">
        <v>91</v>
      </c>
      <c r="P4" s="275" t="s">
        <v>88</v>
      </c>
    </row>
    <row r="5" spans="1:17">
      <c r="B5" s="233">
        <v>44197</v>
      </c>
      <c r="C5" s="235">
        <v>2305500</v>
      </c>
      <c r="D5" s="230">
        <v>21200</v>
      </c>
      <c r="E5" s="203">
        <f t="shared" ref="E5:E12" si="0">C5-D5</f>
        <v>2284300</v>
      </c>
      <c r="F5" s="283">
        <v>2284300</v>
      </c>
      <c r="G5" s="297"/>
      <c r="H5" s="206">
        <v>2391400</v>
      </c>
      <c r="I5" s="207">
        <v>35000</v>
      </c>
      <c r="J5" s="203">
        <f t="shared" ref="J5:J12" si="1">H5-I5</f>
        <v>2356400</v>
      </c>
      <c r="K5" s="280">
        <v>2356400</v>
      </c>
      <c r="L5" s="279"/>
      <c r="M5" s="206">
        <v>2486900</v>
      </c>
      <c r="N5" s="207">
        <v>35400</v>
      </c>
      <c r="O5" s="203">
        <f>M5-N5</f>
        <v>2451500</v>
      </c>
      <c r="P5" s="280">
        <v>2451500</v>
      </c>
      <c r="Q5" s="270"/>
    </row>
    <row r="6" spans="1:17">
      <c r="B6" s="245">
        <v>44228</v>
      </c>
      <c r="C6" s="246">
        <v>2918200</v>
      </c>
      <c r="D6" s="209">
        <v>16500</v>
      </c>
      <c r="E6" s="204">
        <f t="shared" si="0"/>
        <v>2901700</v>
      </c>
      <c r="F6" s="281">
        <v>2901700</v>
      </c>
      <c r="G6" s="279"/>
      <c r="H6" s="208">
        <v>2993700</v>
      </c>
      <c r="I6" s="209">
        <v>27320</v>
      </c>
      <c r="J6" s="204">
        <f t="shared" si="1"/>
        <v>2966380</v>
      </c>
      <c r="K6" s="281">
        <v>2966380</v>
      </c>
      <c r="L6" s="279"/>
      <c r="M6" s="208">
        <v>3119400</v>
      </c>
      <c r="N6" s="209">
        <v>26800</v>
      </c>
      <c r="O6" s="204">
        <f t="shared" ref="O6:O11" si="2">M6-N6</f>
        <v>3092600</v>
      </c>
      <c r="P6" s="281">
        <v>3092600</v>
      </c>
      <c r="Q6" s="270"/>
    </row>
    <row r="7" spans="1:17">
      <c r="B7" s="245">
        <v>44256</v>
      </c>
      <c r="C7" s="208">
        <v>3401500</v>
      </c>
      <c r="D7" s="209">
        <v>16700</v>
      </c>
      <c r="E7" s="204">
        <f t="shared" si="0"/>
        <v>3384800</v>
      </c>
      <c r="F7" s="281">
        <v>3384800</v>
      </c>
      <c r="G7" s="279"/>
      <c r="H7" s="208">
        <v>3438600</v>
      </c>
      <c r="I7" s="209">
        <v>26880</v>
      </c>
      <c r="J7" s="204">
        <f t="shared" si="1"/>
        <v>3411720</v>
      </c>
      <c r="K7" s="281">
        <v>3411720</v>
      </c>
      <c r="L7" s="279"/>
      <c r="M7" s="208">
        <v>3660300</v>
      </c>
      <c r="N7" s="209">
        <v>25900</v>
      </c>
      <c r="O7" s="204">
        <f t="shared" si="2"/>
        <v>3634400</v>
      </c>
      <c r="P7" s="281">
        <v>3634400</v>
      </c>
      <c r="Q7" s="270"/>
    </row>
    <row r="8" spans="1:17">
      <c r="B8" s="234">
        <v>44287</v>
      </c>
      <c r="C8" s="208">
        <v>3748070</v>
      </c>
      <c r="D8" s="209">
        <v>16970</v>
      </c>
      <c r="E8" s="204">
        <f>C8-D8</f>
        <v>3731100</v>
      </c>
      <c r="F8" s="281">
        <v>3731100</v>
      </c>
      <c r="G8" s="279"/>
      <c r="H8" s="208">
        <v>3831000</v>
      </c>
      <c r="I8" s="209">
        <v>26500</v>
      </c>
      <c r="J8" s="204">
        <f t="shared" si="1"/>
        <v>3804500</v>
      </c>
      <c r="K8" s="281">
        <v>3804500</v>
      </c>
      <c r="L8" s="279"/>
      <c r="M8" s="208">
        <v>4049000</v>
      </c>
      <c r="N8" s="209">
        <v>24230</v>
      </c>
      <c r="O8" s="204">
        <f t="shared" si="2"/>
        <v>4024770</v>
      </c>
      <c r="P8" s="281">
        <v>4024770</v>
      </c>
      <c r="Q8" s="270"/>
    </row>
    <row r="9" spans="1:17">
      <c r="B9" s="245">
        <v>44317</v>
      </c>
      <c r="C9" s="208">
        <v>2994730</v>
      </c>
      <c r="D9" s="209">
        <v>13930</v>
      </c>
      <c r="E9" s="204">
        <f t="shared" si="0"/>
        <v>2980800</v>
      </c>
      <c r="F9" s="281">
        <v>2980800</v>
      </c>
      <c r="G9" s="279"/>
      <c r="H9" s="208">
        <v>3165400</v>
      </c>
      <c r="I9" s="209">
        <v>21300</v>
      </c>
      <c r="J9" s="204">
        <f t="shared" si="1"/>
        <v>3144100</v>
      </c>
      <c r="K9" s="281">
        <v>3144100</v>
      </c>
      <c r="L9" s="279"/>
      <c r="M9" s="208">
        <v>3279100</v>
      </c>
      <c r="N9" s="209">
        <v>20370</v>
      </c>
      <c r="O9" s="204">
        <f t="shared" si="2"/>
        <v>3258730</v>
      </c>
      <c r="P9" s="281">
        <v>3258730</v>
      </c>
      <c r="Q9" s="270"/>
    </row>
    <row r="10" spans="1:17">
      <c r="B10" s="234">
        <v>44348</v>
      </c>
      <c r="C10" s="208">
        <v>3389800</v>
      </c>
      <c r="D10" s="209">
        <v>15000</v>
      </c>
      <c r="E10" s="204">
        <f t="shared" si="0"/>
        <v>3374800</v>
      </c>
      <c r="F10" s="281">
        <v>3374800</v>
      </c>
      <c r="G10" s="279"/>
      <c r="H10" s="208">
        <v>3519700</v>
      </c>
      <c r="I10" s="209">
        <v>22200</v>
      </c>
      <c r="J10" s="204">
        <f t="shared" si="1"/>
        <v>3497500</v>
      </c>
      <c r="K10" s="281">
        <v>3497500</v>
      </c>
      <c r="L10" s="279"/>
      <c r="M10" s="208">
        <v>3698900</v>
      </c>
      <c r="N10" s="209">
        <v>21300</v>
      </c>
      <c r="O10" s="204">
        <f t="shared" si="2"/>
        <v>3677600</v>
      </c>
      <c r="P10" s="281">
        <v>3677600</v>
      </c>
      <c r="Q10" s="270"/>
    </row>
    <row r="11" spans="1:17">
      <c r="B11" s="245">
        <v>44378</v>
      </c>
      <c r="C11" s="210">
        <v>3025900</v>
      </c>
      <c r="D11" s="205">
        <v>15500</v>
      </c>
      <c r="E11" s="204">
        <f t="shared" si="0"/>
        <v>3010400</v>
      </c>
      <c r="F11" s="281">
        <v>3010400</v>
      </c>
      <c r="G11" s="279"/>
      <c r="H11" s="210">
        <v>3074800</v>
      </c>
      <c r="I11" s="205">
        <v>22700</v>
      </c>
      <c r="J11" s="204">
        <f t="shared" si="1"/>
        <v>3052100</v>
      </c>
      <c r="K11" s="281">
        <v>3052100</v>
      </c>
      <c r="L11" s="279"/>
      <c r="M11" s="210">
        <v>3260500</v>
      </c>
      <c r="N11" s="205">
        <v>22200</v>
      </c>
      <c r="O11" s="204">
        <f t="shared" si="2"/>
        <v>3238300</v>
      </c>
      <c r="P11" s="281">
        <v>3238300</v>
      </c>
      <c r="Q11" s="270"/>
    </row>
    <row r="12" spans="1:17" ht="15" thickBot="1">
      <c r="B12" s="254">
        <v>44409</v>
      </c>
      <c r="C12" s="236">
        <v>3226900</v>
      </c>
      <c r="D12" s="211">
        <v>16800</v>
      </c>
      <c r="E12" s="212">
        <f t="shared" si="0"/>
        <v>3210100</v>
      </c>
      <c r="F12" s="284">
        <v>3210100</v>
      </c>
      <c r="G12" s="279"/>
      <c r="H12" s="236">
        <v>3362200</v>
      </c>
      <c r="I12" s="211">
        <v>24300</v>
      </c>
      <c r="J12" s="212">
        <f t="shared" si="1"/>
        <v>3337900</v>
      </c>
      <c r="K12" s="284">
        <v>3337900</v>
      </c>
      <c r="L12" s="279"/>
      <c r="M12" s="210">
        <v>3486000</v>
      </c>
      <c r="N12" s="205">
        <v>23700</v>
      </c>
      <c r="O12" s="204">
        <f>M12-N12</f>
        <v>3462300</v>
      </c>
      <c r="P12" s="281">
        <v>3462300</v>
      </c>
      <c r="Q12" s="270"/>
    </row>
    <row r="13" spans="1:17" ht="13.5" customHeight="1" thickBot="1">
      <c r="B13" s="264" t="s">
        <v>10</v>
      </c>
      <c r="C13" s="90"/>
      <c r="D13" s="89"/>
      <c r="E13" s="265">
        <f>SUM(E5:E12)</f>
        <v>24878000</v>
      </c>
      <c r="F13" s="89"/>
      <c r="G13" s="149"/>
      <c r="H13" s="90"/>
      <c r="I13" s="89"/>
      <c r="J13" s="263">
        <f>SUM(J5:J12)</f>
        <v>25570600</v>
      </c>
      <c r="K13" s="89"/>
      <c r="L13" s="149"/>
      <c r="M13" s="161"/>
      <c r="N13" s="140"/>
      <c r="O13" s="263">
        <f>SUM(O5:O12)</f>
        <v>26840200</v>
      </c>
      <c r="P13" s="282"/>
    </row>
    <row r="14" spans="1:17" ht="13.5" customHeight="1"/>
    <row r="15" spans="1:17" ht="13.5" customHeight="1"/>
    <row r="16" spans="1:17" ht="27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4" spans="2:8" s="41" customFormat="1">
      <c r="B34"/>
      <c r="C34"/>
      <c r="D34"/>
      <c r="E34"/>
      <c r="F34"/>
      <c r="G34"/>
      <c r="H34"/>
    </row>
  </sheetData>
  <mergeCells count="4">
    <mergeCell ref="B2:P2"/>
    <mergeCell ref="C3:F3"/>
    <mergeCell ref="H3:K3"/>
    <mergeCell ref="M3:P3"/>
  </mergeCells>
  <phoneticPr fontId="19" type="noConversion"/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rgb="FF00B050"/>
  </sheetPr>
  <dimension ref="A1:Y111"/>
  <sheetViews>
    <sheetView topLeftCell="A55" zoomScale="90" zoomScaleNormal="90" workbookViewId="0">
      <selection activeCell="I53" sqref="I53"/>
    </sheetView>
  </sheetViews>
  <sheetFormatPr defaultRowHeight="14.4"/>
  <cols>
    <col min="1" max="1" width="3.44140625" customWidth="1"/>
    <col min="2" max="2" width="14.44140625" customWidth="1"/>
    <col min="3" max="3" width="14.33203125" customWidth="1"/>
    <col min="4" max="4" width="15.109375" customWidth="1"/>
    <col min="5" max="5" width="16" bestFit="1" customWidth="1"/>
    <col min="6" max="6" width="15" customWidth="1"/>
    <col min="7" max="7" width="14.44140625" customWidth="1"/>
    <col min="8" max="8" width="11.6640625" bestFit="1" customWidth="1"/>
    <col min="9" max="9" width="13.5546875" customWidth="1"/>
    <col min="10" max="10" width="20.44140625" customWidth="1"/>
    <col min="11" max="11" width="20" customWidth="1"/>
    <col min="12" max="12" width="17.6640625" customWidth="1"/>
    <col min="13" max="13" width="15.33203125" customWidth="1"/>
    <col min="14" max="14" width="20" bestFit="1" customWidth="1"/>
    <col min="15" max="15" width="8.88671875" bestFit="1" customWidth="1"/>
    <col min="16" max="16" width="6.6640625" bestFit="1" customWidth="1"/>
  </cols>
  <sheetData>
    <row r="1" spans="2:25" ht="15" thickBot="1"/>
    <row r="2" spans="2:25" ht="15" thickBot="1">
      <c r="B2" s="327" t="s">
        <v>30</v>
      </c>
      <c r="C2" s="328"/>
      <c r="D2" s="328"/>
      <c r="E2" s="328"/>
      <c r="F2" s="329"/>
    </row>
    <row r="3" spans="2:25" s="78" customFormat="1" ht="43.8" thickBot="1">
      <c r="B3" s="330"/>
      <c r="C3" s="331"/>
      <c r="D3" s="331"/>
      <c r="E3" s="331"/>
      <c r="F3" s="332"/>
      <c r="H3" s="285" t="s">
        <v>52</v>
      </c>
      <c r="I3" s="286" t="s">
        <v>30</v>
      </c>
      <c r="J3" s="286" t="s">
        <v>56</v>
      </c>
      <c r="K3" s="286" t="s">
        <v>31</v>
      </c>
      <c r="L3" s="287" t="s">
        <v>33</v>
      </c>
      <c r="M3" s="285" t="s">
        <v>32</v>
      </c>
      <c r="N3"/>
      <c r="O3"/>
      <c r="P3"/>
      <c r="Q3"/>
      <c r="R3"/>
      <c r="S3"/>
      <c r="T3"/>
      <c r="U3"/>
      <c r="V3"/>
      <c r="W3"/>
      <c r="X3"/>
      <c r="Y3"/>
    </row>
    <row r="4" spans="2:25" s="102" customFormat="1" ht="43.8" thickBot="1">
      <c r="B4" s="138" t="s">
        <v>52</v>
      </c>
      <c r="C4" s="136" t="s">
        <v>89</v>
      </c>
      <c r="D4" s="136" t="s">
        <v>90</v>
      </c>
      <c r="E4" s="108" t="s">
        <v>91</v>
      </c>
      <c r="F4" s="108" t="s">
        <v>88</v>
      </c>
      <c r="G4" s="78"/>
      <c r="H4" s="139"/>
      <c r="I4" s="158" t="s">
        <v>115</v>
      </c>
      <c r="J4" s="158" t="s">
        <v>115</v>
      </c>
      <c r="K4" s="158" t="s">
        <v>115</v>
      </c>
      <c r="L4" s="159" t="s">
        <v>114</v>
      </c>
      <c r="M4" s="288" t="s">
        <v>115</v>
      </c>
      <c r="N4"/>
      <c r="O4"/>
      <c r="P4"/>
      <c r="Q4"/>
      <c r="R4"/>
      <c r="S4"/>
      <c r="T4"/>
      <c r="U4"/>
      <c r="V4"/>
      <c r="W4"/>
      <c r="X4"/>
      <c r="Y4"/>
    </row>
    <row r="5" spans="2:25">
      <c r="B5" s="183">
        <v>44197</v>
      </c>
      <c r="C5" s="213">
        <v>7825000</v>
      </c>
      <c r="D5" s="213">
        <v>41000</v>
      </c>
      <c r="E5" s="193">
        <f>C5-D5</f>
        <v>7784000</v>
      </c>
      <c r="F5" s="214">
        <v>7784000</v>
      </c>
      <c r="G5" s="36"/>
      <c r="H5" s="183">
        <f t="shared" ref="H5:H12" si="0">B5</f>
        <v>44197</v>
      </c>
      <c r="I5" s="195">
        <f>E5</f>
        <v>7784000</v>
      </c>
      <c r="J5" s="195">
        <f t="shared" ref="J5:J12" si="1">I26</f>
        <v>2922800</v>
      </c>
      <c r="K5" s="195">
        <f t="shared" ref="K5:K12" si="2">I46</f>
        <v>3148700</v>
      </c>
      <c r="L5" s="195">
        <f t="shared" ref="L5:L12" si="3">E58</f>
        <v>5495000</v>
      </c>
      <c r="M5" s="289">
        <f t="shared" ref="M5:M12" si="4">E71</f>
        <v>4862600</v>
      </c>
    </row>
    <row r="6" spans="2:25">
      <c r="B6" s="247">
        <v>44228</v>
      </c>
      <c r="C6" s="213">
        <v>8332000</v>
      </c>
      <c r="D6" s="213">
        <v>35000</v>
      </c>
      <c r="E6" s="193">
        <f t="shared" ref="E6:E12" si="5">C6-D6</f>
        <v>8297000</v>
      </c>
      <c r="F6" s="214">
        <v>8297000</v>
      </c>
      <c r="G6" s="36"/>
      <c r="H6" s="187">
        <f t="shared" si="0"/>
        <v>44228</v>
      </c>
      <c r="I6" s="195">
        <f t="shared" ref="I6:I12" si="6">E6</f>
        <v>8297000</v>
      </c>
      <c r="J6" s="195">
        <f t="shared" si="1"/>
        <v>3323800</v>
      </c>
      <c r="K6" s="195">
        <f t="shared" si="2"/>
        <v>3268600</v>
      </c>
      <c r="L6" s="195">
        <f t="shared" si="3"/>
        <v>6936000</v>
      </c>
      <c r="M6" s="289">
        <f t="shared" si="4"/>
        <v>5040600</v>
      </c>
    </row>
    <row r="7" spans="2:25">
      <c r="B7" s="247">
        <v>44256</v>
      </c>
      <c r="C7" s="213">
        <v>9789000</v>
      </c>
      <c r="D7" s="213">
        <v>37000</v>
      </c>
      <c r="E7" s="193">
        <f t="shared" si="5"/>
        <v>9752000</v>
      </c>
      <c r="F7" s="214">
        <v>9752000</v>
      </c>
      <c r="G7" s="36"/>
      <c r="H7" s="187">
        <f t="shared" si="0"/>
        <v>44256</v>
      </c>
      <c r="I7" s="195">
        <f t="shared" si="6"/>
        <v>9752000</v>
      </c>
      <c r="J7" s="195">
        <f t="shared" si="1"/>
        <v>3934200</v>
      </c>
      <c r="K7" s="195">
        <f t="shared" si="2"/>
        <v>3726700</v>
      </c>
      <c r="L7" s="195">
        <f t="shared" si="3"/>
        <v>8059000</v>
      </c>
      <c r="M7" s="289">
        <f t="shared" si="4"/>
        <v>5746000</v>
      </c>
    </row>
    <row r="8" spans="2:25">
      <c r="B8" s="183">
        <v>44287</v>
      </c>
      <c r="C8" s="213">
        <v>8660000</v>
      </c>
      <c r="D8" s="213">
        <v>35000</v>
      </c>
      <c r="E8" s="193">
        <f t="shared" si="5"/>
        <v>8625000</v>
      </c>
      <c r="F8" s="214">
        <v>8625000</v>
      </c>
      <c r="G8" s="36"/>
      <c r="H8" s="187">
        <f t="shared" si="0"/>
        <v>44287</v>
      </c>
      <c r="I8" s="195">
        <f t="shared" si="6"/>
        <v>8625000</v>
      </c>
      <c r="J8" s="195">
        <f t="shared" si="1"/>
        <v>3404300</v>
      </c>
      <c r="K8" s="195">
        <f t="shared" si="2"/>
        <v>3383700</v>
      </c>
      <c r="L8" s="195">
        <f t="shared" si="3"/>
        <v>6916000</v>
      </c>
      <c r="M8" s="289">
        <f t="shared" si="4"/>
        <v>5170900</v>
      </c>
    </row>
    <row r="9" spans="2:25">
      <c r="B9" s="247">
        <v>44317</v>
      </c>
      <c r="C9" s="213">
        <v>9014000</v>
      </c>
      <c r="D9" s="213">
        <v>37000</v>
      </c>
      <c r="E9" s="193">
        <f t="shared" si="5"/>
        <v>8977000</v>
      </c>
      <c r="F9" s="214">
        <v>8977000</v>
      </c>
      <c r="G9" s="36"/>
      <c r="H9" s="187">
        <f t="shared" si="0"/>
        <v>44317</v>
      </c>
      <c r="I9" s="195">
        <f t="shared" si="6"/>
        <v>8977000</v>
      </c>
      <c r="J9" s="195">
        <f t="shared" si="1"/>
        <v>3577800</v>
      </c>
      <c r="K9" s="195">
        <f t="shared" si="2"/>
        <v>3394700</v>
      </c>
      <c r="L9" s="195">
        <f t="shared" si="3"/>
        <v>6935000</v>
      </c>
      <c r="M9" s="289">
        <f t="shared" si="4"/>
        <v>5201500</v>
      </c>
    </row>
    <row r="10" spans="2:25">
      <c r="B10" s="183">
        <v>44348</v>
      </c>
      <c r="C10" s="213">
        <v>7335000</v>
      </c>
      <c r="D10" s="213">
        <v>37000</v>
      </c>
      <c r="E10" s="193">
        <f t="shared" si="5"/>
        <v>7298000</v>
      </c>
      <c r="F10" s="214">
        <v>7298000</v>
      </c>
      <c r="G10" s="36"/>
      <c r="H10" s="187">
        <f t="shared" si="0"/>
        <v>44348</v>
      </c>
      <c r="I10" s="195">
        <f t="shared" si="6"/>
        <v>7298000</v>
      </c>
      <c r="J10" s="195">
        <f t="shared" si="1"/>
        <v>3336700</v>
      </c>
      <c r="K10" s="195">
        <f t="shared" si="2"/>
        <v>2787900</v>
      </c>
      <c r="L10" s="195">
        <f t="shared" si="3"/>
        <v>6147000</v>
      </c>
      <c r="M10" s="289">
        <f t="shared" si="4"/>
        <v>4603000</v>
      </c>
    </row>
    <row r="11" spans="2:25">
      <c r="B11" s="247">
        <v>44378</v>
      </c>
      <c r="C11" s="295">
        <v>6233000</v>
      </c>
      <c r="D11" s="213">
        <v>35000</v>
      </c>
      <c r="E11" s="193">
        <f t="shared" si="5"/>
        <v>6198000</v>
      </c>
      <c r="F11" s="214">
        <v>6198000</v>
      </c>
      <c r="G11" s="36"/>
      <c r="H11" s="187">
        <f t="shared" si="0"/>
        <v>44378</v>
      </c>
      <c r="I11" s="195">
        <f t="shared" si="6"/>
        <v>6198000</v>
      </c>
      <c r="J11" s="195">
        <f t="shared" si="1"/>
        <v>3158800</v>
      </c>
      <c r="K11" s="195">
        <f t="shared" si="2"/>
        <v>2538400</v>
      </c>
      <c r="L11" s="195">
        <f t="shared" si="3"/>
        <v>5234000</v>
      </c>
      <c r="M11" s="289">
        <f t="shared" si="4"/>
        <v>4173800</v>
      </c>
    </row>
    <row r="12" spans="2:25" ht="15" thickBot="1">
      <c r="B12" s="247">
        <v>44409</v>
      </c>
      <c r="C12" s="213">
        <v>6731000</v>
      </c>
      <c r="D12" s="213">
        <v>40000</v>
      </c>
      <c r="E12" s="193">
        <f t="shared" si="5"/>
        <v>6691000</v>
      </c>
      <c r="F12" s="214">
        <v>6691000</v>
      </c>
      <c r="G12" s="36"/>
      <c r="H12" s="187">
        <f t="shared" si="0"/>
        <v>44409</v>
      </c>
      <c r="I12" s="195">
        <f t="shared" si="6"/>
        <v>6691000</v>
      </c>
      <c r="J12" s="195">
        <f t="shared" si="1"/>
        <v>2882300</v>
      </c>
      <c r="K12" s="195">
        <f t="shared" si="2"/>
        <v>2670100</v>
      </c>
      <c r="L12" s="195">
        <f t="shared" si="3"/>
        <v>5862000</v>
      </c>
      <c r="M12" s="289">
        <f t="shared" si="4"/>
        <v>4394600</v>
      </c>
    </row>
    <row r="13" spans="2:25" ht="15" thickBot="1">
      <c r="B13" s="182" t="s">
        <v>10</v>
      </c>
      <c r="C13" s="107">
        <f>SUM(C5:C12)</f>
        <v>63919000</v>
      </c>
      <c r="D13" s="107">
        <f>SUM(D5:D12)</f>
        <v>297000</v>
      </c>
      <c r="E13" s="107">
        <f>SUM(E5:E12)</f>
        <v>63622000</v>
      </c>
      <c r="F13" s="107">
        <f>SUM(F5:F12)</f>
        <v>63622000</v>
      </c>
      <c r="H13" s="175" t="s">
        <v>10</v>
      </c>
      <c r="I13" s="266">
        <f t="shared" ref="I13:M13" si="7">SUM(I5:I12)</f>
        <v>63622000</v>
      </c>
      <c r="J13" s="266">
        <f t="shared" si="7"/>
        <v>26540700</v>
      </c>
      <c r="K13" s="266">
        <f t="shared" si="7"/>
        <v>24918800</v>
      </c>
      <c r="L13" s="266">
        <f t="shared" si="7"/>
        <v>51584000</v>
      </c>
      <c r="M13" s="263">
        <f t="shared" si="7"/>
        <v>39193000</v>
      </c>
    </row>
    <row r="14" spans="2:25" ht="15" thickBot="1"/>
    <row r="15" spans="2:25" ht="18">
      <c r="B15" s="92" t="s">
        <v>56</v>
      </c>
      <c r="C15" s="87"/>
      <c r="D15" s="88"/>
      <c r="E15" s="88"/>
      <c r="F15" s="88"/>
      <c r="G15" s="104"/>
    </row>
    <row r="16" spans="2:25" ht="15" thickBot="1">
      <c r="B16" s="90"/>
      <c r="C16" s="89"/>
      <c r="D16" s="89"/>
      <c r="E16" s="89"/>
      <c r="F16" s="89"/>
      <c r="G16" s="72"/>
    </row>
    <row r="17" spans="2:25" s="78" customFormat="1" ht="29.4" thickBot="1">
      <c r="B17" s="162" t="s">
        <v>52</v>
      </c>
      <c r="C17" s="163" t="s">
        <v>25</v>
      </c>
      <c r="D17" s="163" t="s">
        <v>89</v>
      </c>
      <c r="E17" s="163" t="s">
        <v>90</v>
      </c>
      <c r="F17" s="156" t="s">
        <v>91</v>
      </c>
      <c r="G17" s="156" t="s">
        <v>88</v>
      </c>
      <c r="J17"/>
      <c r="K17"/>
      <c r="N17"/>
      <c r="O17"/>
      <c r="P17"/>
      <c r="Q17"/>
      <c r="R17"/>
      <c r="S17"/>
      <c r="T17"/>
      <c r="U17"/>
      <c r="V17"/>
      <c r="W17"/>
      <c r="X17"/>
      <c r="Y17"/>
    </row>
    <row r="18" spans="2:25">
      <c r="B18" s="183">
        <v>44197</v>
      </c>
      <c r="C18" s="190" t="s">
        <v>27</v>
      </c>
      <c r="D18" s="215">
        <v>1458000</v>
      </c>
      <c r="E18" s="215">
        <v>8500</v>
      </c>
      <c r="F18" s="150">
        <f t="shared" ref="F18:F33" si="8">D18-E18</f>
        <v>1449500</v>
      </c>
      <c r="G18" s="237">
        <v>1449500</v>
      </c>
      <c r="J18" s="36"/>
    </row>
    <row r="19" spans="2:25">
      <c r="B19" s="183">
        <v>44197</v>
      </c>
      <c r="C19" s="189" t="s">
        <v>28</v>
      </c>
      <c r="D19" s="296">
        <v>1481100</v>
      </c>
      <c r="E19" s="15">
        <v>7800</v>
      </c>
      <c r="F19" s="150">
        <f t="shared" si="8"/>
        <v>1473300</v>
      </c>
      <c r="G19" s="237">
        <v>1473300</v>
      </c>
      <c r="J19" s="36"/>
    </row>
    <row r="20" spans="2:25">
      <c r="B20" s="247">
        <v>44228</v>
      </c>
      <c r="C20" s="189" t="s">
        <v>27</v>
      </c>
      <c r="D20" s="15">
        <v>1645000</v>
      </c>
      <c r="E20" s="15">
        <v>6800</v>
      </c>
      <c r="F20" s="150">
        <f t="shared" si="8"/>
        <v>1638200</v>
      </c>
      <c r="G20" s="237">
        <v>1638200</v>
      </c>
      <c r="J20" s="36"/>
    </row>
    <row r="21" spans="2:25">
      <c r="B21" s="247">
        <v>44228</v>
      </c>
      <c r="C21" s="189" t="s">
        <v>28</v>
      </c>
      <c r="D21" s="15">
        <v>1691800</v>
      </c>
      <c r="E21" s="15">
        <v>6200</v>
      </c>
      <c r="F21" s="150">
        <f t="shared" si="8"/>
        <v>1685600</v>
      </c>
      <c r="G21" s="237">
        <v>1685600</v>
      </c>
      <c r="J21" s="36"/>
    </row>
    <row r="22" spans="2:25">
      <c r="B22" s="247">
        <v>44256</v>
      </c>
      <c r="C22" s="189" t="s">
        <v>27</v>
      </c>
      <c r="D22" s="15">
        <v>1960700</v>
      </c>
      <c r="E22" s="15">
        <v>6900</v>
      </c>
      <c r="F22" s="150">
        <f t="shared" si="8"/>
        <v>1953800</v>
      </c>
      <c r="G22" s="237">
        <v>1953800</v>
      </c>
      <c r="J22" s="36"/>
    </row>
    <row r="23" spans="2:25">
      <c r="B23" s="247">
        <v>44256</v>
      </c>
      <c r="C23" s="189" t="s">
        <v>28</v>
      </c>
      <c r="D23" s="15">
        <v>1986600</v>
      </c>
      <c r="E23" s="15">
        <v>6200</v>
      </c>
      <c r="F23" s="150">
        <f t="shared" si="8"/>
        <v>1980400</v>
      </c>
      <c r="G23" s="237">
        <v>1980400</v>
      </c>
      <c r="J23" s="36"/>
    </row>
    <row r="24" spans="2:25">
      <c r="B24" s="183">
        <v>44287</v>
      </c>
      <c r="C24" s="189" t="s">
        <v>27</v>
      </c>
      <c r="D24" s="15">
        <v>1691800</v>
      </c>
      <c r="E24" s="15">
        <v>6400</v>
      </c>
      <c r="F24" s="150">
        <f t="shared" si="8"/>
        <v>1685400</v>
      </c>
      <c r="G24" s="237">
        <v>1685400</v>
      </c>
      <c r="J24" s="36"/>
    </row>
    <row r="25" spans="2:25">
      <c r="B25" s="183">
        <v>44287</v>
      </c>
      <c r="C25" s="189" t="s">
        <v>28</v>
      </c>
      <c r="D25" s="15">
        <v>1724500</v>
      </c>
      <c r="E25" s="15">
        <v>5600</v>
      </c>
      <c r="F25" s="150">
        <f t="shared" si="8"/>
        <v>1718900</v>
      </c>
      <c r="G25" s="237">
        <v>1718900</v>
      </c>
      <c r="J25" s="36"/>
    </row>
    <row r="26" spans="2:25">
      <c r="B26" s="247">
        <v>44317</v>
      </c>
      <c r="C26" s="189" t="s">
        <v>27</v>
      </c>
      <c r="D26" s="15">
        <f>657200+1121600</f>
        <v>1778800</v>
      </c>
      <c r="E26" s="15">
        <f>2400+4800</f>
        <v>7200</v>
      </c>
      <c r="F26" s="150">
        <f t="shared" si="8"/>
        <v>1771600</v>
      </c>
      <c r="G26" s="237">
        <v>1771600</v>
      </c>
      <c r="H26" s="186">
        <f t="shared" ref="H26:H33" si="9">B5</f>
        <v>44197</v>
      </c>
      <c r="I26" s="174">
        <f>SUM(F18:F19)</f>
        <v>2922800</v>
      </c>
    </row>
    <row r="27" spans="2:25">
      <c r="B27" s="247">
        <v>44317</v>
      </c>
      <c r="C27" s="189" t="s">
        <v>28</v>
      </c>
      <c r="D27" s="15">
        <f>664900+1147600</f>
        <v>1812500</v>
      </c>
      <c r="E27" s="15">
        <f>2100+4200</f>
        <v>6300</v>
      </c>
      <c r="F27" s="150">
        <f t="shared" si="8"/>
        <v>1806200</v>
      </c>
      <c r="G27" s="237">
        <v>1806200</v>
      </c>
      <c r="H27" s="186">
        <f t="shared" si="9"/>
        <v>44228</v>
      </c>
      <c r="I27" s="174">
        <f>SUM(F20:F21)</f>
        <v>3323800</v>
      </c>
    </row>
    <row r="28" spans="2:25">
      <c r="B28" s="183">
        <v>44348</v>
      </c>
      <c r="C28" s="189" t="s">
        <v>27</v>
      </c>
      <c r="D28" s="15">
        <v>1658600</v>
      </c>
      <c r="E28" s="15">
        <v>6400</v>
      </c>
      <c r="F28" s="150">
        <f t="shared" si="8"/>
        <v>1652200</v>
      </c>
      <c r="G28" s="237">
        <v>1652200</v>
      </c>
      <c r="H28" s="186">
        <f t="shared" si="9"/>
        <v>44256</v>
      </c>
      <c r="I28" s="174">
        <f>SUM(F22:F23)</f>
        <v>3934200</v>
      </c>
    </row>
    <row r="29" spans="2:25">
      <c r="B29" s="183">
        <v>44348</v>
      </c>
      <c r="C29" s="189" t="s">
        <v>28</v>
      </c>
      <c r="D29" s="15">
        <v>1690400</v>
      </c>
      <c r="E29" s="15">
        <v>5900</v>
      </c>
      <c r="F29" s="150">
        <f t="shared" si="8"/>
        <v>1684500</v>
      </c>
      <c r="G29" s="237">
        <v>1684500</v>
      </c>
      <c r="H29" s="186">
        <f t="shared" si="9"/>
        <v>44287</v>
      </c>
      <c r="I29" s="174">
        <f>SUM(F24:F25)</f>
        <v>3404300</v>
      </c>
    </row>
    <row r="30" spans="2:25">
      <c r="B30" s="247">
        <v>44378</v>
      </c>
      <c r="C30" s="189" t="s">
        <v>27</v>
      </c>
      <c r="D30" s="296">
        <v>1571100</v>
      </c>
      <c r="E30" s="15">
        <v>7200</v>
      </c>
      <c r="F30" s="150">
        <f t="shared" si="8"/>
        <v>1563900</v>
      </c>
      <c r="G30" s="237">
        <v>1563900</v>
      </c>
      <c r="H30" s="186">
        <f t="shared" si="9"/>
        <v>44317</v>
      </c>
      <c r="I30" s="174">
        <f>SUM(F26:F27)</f>
        <v>3577800</v>
      </c>
    </row>
    <row r="31" spans="2:25">
      <c r="B31" s="247">
        <v>44378</v>
      </c>
      <c r="C31" s="189" t="s">
        <v>28</v>
      </c>
      <c r="D31" s="15">
        <v>1601600</v>
      </c>
      <c r="E31" s="15">
        <v>6700</v>
      </c>
      <c r="F31" s="150">
        <f t="shared" si="8"/>
        <v>1594900</v>
      </c>
      <c r="G31" s="237">
        <v>1594900</v>
      </c>
      <c r="H31" s="186">
        <f t="shared" si="9"/>
        <v>44348</v>
      </c>
      <c r="I31" s="174">
        <f>SUM(F28:F29)</f>
        <v>3336700</v>
      </c>
    </row>
    <row r="32" spans="2:25">
      <c r="B32" s="250">
        <v>44409</v>
      </c>
      <c r="C32" s="189" t="s">
        <v>27</v>
      </c>
      <c r="D32" s="15">
        <v>1435800</v>
      </c>
      <c r="E32" s="15">
        <v>6700</v>
      </c>
      <c r="F32" s="150">
        <f t="shared" si="8"/>
        <v>1429100</v>
      </c>
      <c r="G32" s="237">
        <v>1429100</v>
      </c>
      <c r="H32" s="186">
        <f t="shared" si="9"/>
        <v>44378</v>
      </c>
      <c r="I32" s="174">
        <f>SUM(F30:F31)</f>
        <v>3158800</v>
      </c>
    </row>
    <row r="33" spans="2:25" ht="15" thickBot="1">
      <c r="B33" s="251">
        <v>44409</v>
      </c>
      <c r="C33" s="238" t="s">
        <v>28</v>
      </c>
      <c r="D33" s="218">
        <v>1459000</v>
      </c>
      <c r="E33" s="218">
        <v>5800</v>
      </c>
      <c r="F33" s="239">
        <f t="shared" si="8"/>
        <v>1453200</v>
      </c>
      <c r="G33" s="237">
        <v>1453200</v>
      </c>
      <c r="H33" s="186">
        <f t="shared" si="9"/>
        <v>44409</v>
      </c>
      <c r="I33" s="174">
        <f>SUM(F32:F33)</f>
        <v>2882300</v>
      </c>
    </row>
    <row r="35" spans="2:25" ht="14.25" customHeight="1"/>
    <row r="36" spans="2:25" ht="14.25" customHeight="1" thickBot="1">
      <c r="B36" s="111"/>
      <c r="C36" s="111"/>
      <c r="D36" s="111"/>
      <c r="E36" s="111"/>
      <c r="F36" s="111"/>
    </row>
    <row r="37" spans="2:25" s="78" customFormat="1" ht="29.4" thickBot="1">
      <c r="B37" s="168" t="s">
        <v>52</v>
      </c>
      <c r="C37" s="169" t="s">
        <v>26</v>
      </c>
      <c r="D37" s="169" t="s">
        <v>89</v>
      </c>
      <c r="E37" s="169" t="s">
        <v>90</v>
      </c>
      <c r="F37" s="170" t="s">
        <v>91</v>
      </c>
      <c r="G37" s="171" t="s">
        <v>88</v>
      </c>
      <c r="I37"/>
      <c r="N37"/>
      <c r="O37"/>
      <c r="P37"/>
      <c r="Q37"/>
      <c r="R37"/>
      <c r="S37"/>
      <c r="T37"/>
      <c r="U37"/>
      <c r="V37"/>
      <c r="W37"/>
      <c r="X37"/>
      <c r="Y37"/>
    </row>
    <row r="38" spans="2:25">
      <c r="B38" s="183">
        <v>44197</v>
      </c>
      <c r="C38" s="201" t="s">
        <v>85</v>
      </c>
      <c r="D38" s="215">
        <v>1604100</v>
      </c>
      <c r="E38" s="215">
        <v>5300</v>
      </c>
      <c r="F38" s="188">
        <f>D38-E38</f>
        <v>1598800</v>
      </c>
      <c r="G38" s="191">
        <v>1598800</v>
      </c>
      <c r="J38" s="36"/>
    </row>
    <row r="39" spans="2:25">
      <c r="B39" s="183">
        <v>44197</v>
      </c>
      <c r="C39" s="200" t="s">
        <v>86</v>
      </c>
      <c r="D39" s="15">
        <v>1556200</v>
      </c>
      <c r="E39" s="15">
        <v>6300</v>
      </c>
      <c r="F39" s="188">
        <f t="shared" ref="F39:F54" si="10">D39-E39</f>
        <v>1549900</v>
      </c>
      <c r="G39" s="191">
        <v>1549900</v>
      </c>
      <c r="J39" s="36"/>
    </row>
    <row r="40" spans="2:25">
      <c r="B40" s="247">
        <v>44228</v>
      </c>
      <c r="C40" s="200" t="s">
        <v>85</v>
      </c>
      <c r="D40" s="15">
        <v>1634100</v>
      </c>
      <c r="E40" s="15">
        <v>4600</v>
      </c>
      <c r="F40" s="188">
        <f t="shared" si="10"/>
        <v>1629500</v>
      </c>
      <c r="G40" s="191">
        <v>1629500</v>
      </c>
      <c r="J40" s="36"/>
    </row>
    <row r="41" spans="2:25">
      <c r="B41" s="247">
        <v>44228</v>
      </c>
      <c r="C41" s="200" t="s">
        <v>86</v>
      </c>
      <c r="D41" s="15">
        <v>1644500</v>
      </c>
      <c r="E41" s="15">
        <v>5400</v>
      </c>
      <c r="F41" s="188">
        <f t="shared" si="10"/>
        <v>1639100</v>
      </c>
      <c r="G41" s="191">
        <v>1639100</v>
      </c>
      <c r="J41" s="36"/>
    </row>
    <row r="42" spans="2:25">
      <c r="B42" s="247">
        <v>44256</v>
      </c>
      <c r="C42" s="185" t="s">
        <v>85</v>
      </c>
      <c r="D42" s="15">
        <v>1873700</v>
      </c>
      <c r="E42" s="15">
        <v>5100</v>
      </c>
      <c r="F42" s="188">
        <f t="shared" si="10"/>
        <v>1868600</v>
      </c>
      <c r="G42" s="191">
        <v>1868600</v>
      </c>
      <c r="J42" s="36"/>
    </row>
    <row r="43" spans="2:25">
      <c r="B43" s="247">
        <v>44256</v>
      </c>
      <c r="C43" s="185" t="s">
        <v>86</v>
      </c>
      <c r="D43" s="15">
        <v>1864100</v>
      </c>
      <c r="E43" s="15">
        <v>6000</v>
      </c>
      <c r="F43" s="188">
        <f t="shared" si="10"/>
        <v>1858100</v>
      </c>
      <c r="G43" s="191">
        <v>1858100</v>
      </c>
      <c r="J43" s="36"/>
    </row>
    <row r="44" spans="2:25">
      <c r="B44" s="183">
        <v>44287</v>
      </c>
      <c r="C44" s="185" t="s">
        <v>85</v>
      </c>
      <c r="D44" s="15">
        <v>1698800</v>
      </c>
      <c r="E44" s="15">
        <v>4800</v>
      </c>
      <c r="F44" s="188">
        <f t="shared" si="10"/>
        <v>1694000</v>
      </c>
      <c r="G44" s="191">
        <v>1694000</v>
      </c>
      <c r="J44" s="36"/>
    </row>
    <row r="45" spans="2:25">
      <c r="B45" s="183">
        <v>44287</v>
      </c>
      <c r="C45" s="185" t="s">
        <v>86</v>
      </c>
      <c r="D45" s="216">
        <v>1695600</v>
      </c>
      <c r="E45" s="216">
        <v>5900</v>
      </c>
      <c r="F45" s="188">
        <f t="shared" si="10"/>
        <v>1689700</v>
      </c>
      <c r="G45" s="191">
        <v>1689700</v>
      </c>
    </row>
    <row r="46" spans="2:25">
      <c r="B46" s="247">
        <v>44317</v>
      </c>
      <c r="C46" s="185" t="s">
        <v>85</v>
      </c>
      <c r="D46" s="217">
        <v>1708200</v>
      </c>
      <c r="E46" s="217">
        <v>4900</v>
      </c>
      <c r="F46" s="188">
        <f t="shared" si="10"/>
        <v>1703300</v>
      </c>
      <c r="G46" s="191">
        <v>1703300</v>
      </c>
      <c r="H46" s="186">
        <v>44197</v>
      </c>
      <c r="I46" s="110">
        <f>SUM(F38:F39)</f>
        <v>3148700</v>
      </c>
    </row>
    <row r="47" spans="2:25">
      <c r="B47" s="247">
        <v>44317</v>
      </c>
      <c r="C47" s="185" t="s">
        <v>86</v>
      </c>
      <c r="D47" s="15">
        <v>1697400</v>
      </c>
      <c r="E47" s="15">
        <v>6000</v>
      </c>
      <c r="F47" s="188">
        <f t="shared" si="10"/>
        <v>1691400</v>
      </c>
      <c r="G47" s="191">
        <v>1691400</v>
      </c>
      <c r="H47" s="186">
        <v>44228</v>
      </c>
      <c r="I47" s="110">
        <f>SUM(F40:F41)</f>
        <v>3268600</v>
      </c>
    </row>
    <row r="48" spans="2:25">
      <c r="B48" s="183">
        <v>44348</v>
      </c>
      <c r="C48" s="185" t="s">
        <v>85</v>
      </c>
      <c r="D48" s="296">
        <f>786200+621200</f>
        <v>1407400</v>
      </c>
      <c r="E48" s="15">
        <f>2800+2100</f>
        <v>4900</v>
      </c>
      <c r="F48" s="188">
        <f t="shared" si="10"/>
        <v>1402500</v>
      </c>
      <c r="G48" s="191">
        <v>1402500</v>
      </c>
      <c r="H48" s="186">
        <v>44256</v>
      </c>
      <c r="I48" s="110">
        <f>SUM(F42:F43)</f>
        <v>3726700</v>
      </c>
    </row>
    <row r="49" spans="2:25">
      <c r="B49" s="183">
        <v>44348</v>
      </c>
      <c r="C49" s="185" t="s">
        <v>86</v>
      </c>
      <c r="D49" s="15">
        <f>774100+617300</f>
        <v>1391400</v>
      </c>
      <c r="E49" s="15">
        <f>3400+2600</f>
        <v>6000</v>
      </c>
      <c r="F49" s="188">
        <f t="shared" si="10"/>
        <v>1385400</v>
      </c>
      <c r="G49" s="191">
        <v>1385400</v>
      </c>
      <c r="H49" s="186">
        <v>44287</v>
      </c>
      <c r="I49" s="110">
        <f>SUM(F44:F45)</f>
        <v>3383700</v>
      </c>
    </row>
    <row r="50" spans="2:25">
      <c r="B50" s="247">
        <v>44378</v>
      </c>
      <c r="C50" s="185" t="s">
        <v>85</v>
      </c>
      <c r="D50" s="15">
        <v>1272100</v>
      </c>
      <c r="E50" s="15">
        <v>4700</v>
      </c>
      <c r="F50" s="188">
        <f t="shared" si="10"/>
        <v>1267400</v>
      </c>
      <c r="G50" s="191">
        <v>1267400</v>
      </c>
      <c r="H50" s="186">
        <v>44317</v>
      </c>
      <c r="I50" s="110">
        <f>SUM(F46:F47)</f>
        <v>3394700</v>
      </c>
    </row>
    <row r="51" spans="2:25">
      <c r="B51" s="247">
        <v>44378</v>
      </c>
      <c r="C51" s="185" t="s">
        <v>86</v>
      </c>
      <c r="D51" s="15">
        <v>1277900</v>
      </c>
      <c r="E51" s="15">
        <v>6900</v>
      </c>
      <c r="F51" s="188">
        <f t="shared" si="10"/>
        <v>1271000</v>
      </c>
      <c r="G51" s="191">
        <v>1271000</v>
      </c>
      <c r="H51" s="186">
        <v>44348</v>
      </c>
      <c r="I51" s="110">
        <f>SUM(F48:F49)</f>
        <v>2787900</v>
      </c>
    </row>
    <row r="52" spans="2:25">
      <c r="B52" s="250">
        <v>44409</v>
      </c>
      <c r="C52" s="185" t="s">
        <v>85</v>
      </c>
      <c r="D52" s="15">
        <v>1341600</v>
      </c>
      <c r="E52" s="15">
        <v>4400</v>
      </c>
      <c r="F52" s="188">
        <f t="shared" si="10"/>
        <v>1337200</v>
      </c>
      <c r="G52" s="191">
        <v>1337200</v>
      </c>
      <c r="H52" s="186">
        <v>44378</v>
      </c>
      <c r="I52" s="110">
        <f>SUM(F50:F51)</f>
        <v>2538400</v>
      </c>
    </row>
    <row r="53" spans="2:25">
      <c r="B53" s="250">
        <v>44409</v>
      </c>
      <c r="C53" s="231" t="s">
        <v>86</v>
      </c>
      <c r="D53" s="15">
        <v>1339300</v>
      </c>
      <c r="E53" s="15">
        <v>6400</v>
      </c>
      <c r="F53" s="232">
        <f t="shared" si="10"/>
        <v>1332900</v>
      </c>
      <c r="G53" s="191">
        <v>1332900</v>
      </c>
      <c r="H53" s="186">
        <v>44409</v>
      </c>
      <c r="I53" s="110">
        <f>SUM(F52:F53)</f>
        <v>2670100</v>
      </c>
    </row>
    <row r="54" spans="2:25" ht="15" thickBot="1">
      <c r="B54" s="240"/>
      <c r="C54" s="241"/>
      <c r="D54" s="242"/>
      <c r="E54" s="242"/>
      <c r="F54" s="243">
        <f t="shared" si="10"/>
        <v>0</v>
      </c>
      <c r="G54" s="191"/>
    </row>
    <row r="55" spans="2:25" ht="18">
      <c r="B55" s="173" t="s">
        <v>33</v>
      </c>
      <c r="C55" s="1"/>
      <c r="F55" s="61" t="s">
        <v>92</v>
      </c>
    </row>
    <row r="56" spans="2:25" ht="15" thickBot="1">
      <c r="B56" s="90"/>
      <c r="C56" s="89"/>
      <c r="D56" s="89"/>
      <c r="E56" s="89"/>
      <c r="F56" s="72"/>
    </row>
    <row r="57" spans="2:25" s="78" customFormat="1" ht="29.4" thickBot="1">
      <c r="B57" s="172" t="s">
        <v>52</v>
      </c>
      <c r="C57" s="165" t="s">
        <v>89</v>
      </c>
      <c r="D57" s="165" t="s">
        <v>90</v>
      </c>
      <c r="E57" s="166" t="s">
        <v>91</v>
      </c>
      <c r="F57" s="249" t="s">
        <v>88</v>
      </c>
      <c r="N57"/>
      <c r="O57"/>
      <c r="P57"/>
      <c r="Q57"/>
      <c r="R57"/>
      <c r="S57"/>
      <c r="T57"/>
      <c r="U57"/>
      <c r="V57"/>
      <c r="W57"/>
      <c r="X57"/>
      <c r="Y57"/>
    </row>
    <row r="58" spans="2:25">
      <c r="B58" s="202">
        <f t="shared" ref="B58:B65" si="11">B5</f>
        <v>44197</v>
      </c>
      <c r="C58" s="219">
        <v>5536000</v>
      </c>
      <c r="D58" s="219">
        <v>41000</v>
      </c>
      <c r="E58" s="178">
        <f>C58-D58</f>
        <v>5495000</v>
      </c>
      <c r="F58" s="248">
        <v>5495000</v>
      </c>
    </row>
    <row r="59" spans="2:25">
      <c r="B59" s="247">
        <f t="shared" si="11"/>
        <v>44228</v>
      </c>
      <c r="C59" s="215">
        <v>6968000</v>
      </c>
      <c r="D59" s="215">
        <v>32000</v>
      </c>
      <c r="E59" s="152">
        <f t="shared" ref="E59:E65" si="12">C59-D59</f>
        <v>6936000</v>
      </c>
      <c r="F59" s="6">
        <v>6936000</v>
      </c>
    </row>
    <row r="60" spans="2:25">
      <c r="B60" s="247">
        <f t="shared" si="11"/>
        <v>44256</v>
      </c>
      <c r="C60" s="15">
        <v>8093000</v>
      </c>
      <c r="D60" s="15">
        <v>34000</v>
      </c>
      <c r="E60" s="152">
        <f t="shared" si="12"/>
        <v>8059000</v>
      </c>
      <c r="F60" s="6">
        <v>8059000</v>
      </c>
    </row>
    <row r="61" spans="2:25">
      <c r="B61" s="183">
        <f t="shared" si="11"/>
        <v>44287</v>
      </c>
      <c r="C61" s="15">
        <v>6950000</v>
      </c>
      <c r="D61" s="15">
        <v>34000</v>
      </c>
      <c r="E61" s="152">
        <f t="shared" si="12"/>
        <v>6916000</v>
      </c>
      <c r="F61" s="6">
        <v>6916000</v>
      </c>
    </row>
    <row r="62" spans="2:25">
      <c r="B62" s="247">
        <f t="shared" si="11"/>
        <v>44317</v>
      </c>
      <c r="C62" s="15">
        <v>6968000</v>
      </c>
      <c r="D62" s="15">
        <v>33000</v>
      </c>
      <c r="E62" s="153">
        <f t="shared" si="12"/>
        <v>6935000</v>
      </c>
      <c r="F62" s="6">
        <v>6935000</v>
      </c>
    </row>
    <row r="63" spans="2:25">
      <c r="B63" s="183">
        <f t="shared" si="11"/>
        <v>44348</v>
      </c>
      <c r="C63" s="15">
        <v>6179000</v>
      </c>
      <c r="D63" s="15">
        <v>32000</v>
      </c>
      <c r="E63" s="153">
        <f t="shared" si="12"/>
        <v>6147000</v>
      </c>
      <c r="F63" s="6">
        <v>6147000</v>
      </c>
    </row>
    <row r="64" spans="2:25">
      <c r="B64" s="247">
        <f t="shared" si="11"/>
        <v>44378</v>
      </c>
      <c r="C64" s="15">
        <v>5269000</v>
      </c>
      <c r="D64" s="15">
        <v>35000</v>
      </c>
      <c r="E64" s="153">
        <f>C64-D64</f>
        <v>5234000</v>
      </c>
      <c r="F64" s="6">
        <v>5234000</v>
      </c>
    </row>
    <row r="65" spans="2:25" ht="15" thickBot="1">
      <c r="B65" s="257">
        <f t="shared" si="11"/>
        <v>44409</v>
      </c>
      <c r="C65" s="216">
        <v>5891000</v>
      </c>
      <c r="D65" s="216">
        <v>29000</v>
      </c>
      <c r="E65" s="261">
        <f t="shared" si="12"/>
        <v>5862000</v>
      </c>
      <c r="F65" s="262">
        <v>5862000</v>
      </c>
    </row>
    <row r="66" spans="2:25" ht="15" thickBot="1">
      <c r="B66" s="260" t="s">
        <v>10</v>
      </c>
      <c r="C66" s="106">
        <f>SUM(C58:C65)</f>
        <v>51854000</v>
      </c>
      <c r="D66" s="106">
        <f>SUM(D58:D65)</f>
        <v>270000</v>
      </c>
      <c r="E66" s="107">
        <f>SUM(E58:E65)</f>
        <v>51584000</v>
      </c>
      <c r="F66" s="107">
        <f>SUM(F58:F65)</f>
        <v>51584000</v>
      </c>
    </row>
    <row r="67" spans="2:25" ht="15" thickBot="1"/>
    <row r="68" spans="2:25" ht="18">
      <c r="B68" s="92" t="s">
        <v>32</v>
      </c>
      <c r="C68" s="87"/>
      <c r="D68" s="88"/>
      <c r="E68" s="88"/>
      <c r="F68" s="104"/>
    </row>
    <row r="69" spans="2:25" ht="15" thickBot="1">
      <c r="B69" s="157"/>
      <c r="C69" s="48"/>
      <c r="D69" s="48"/>
      <c r="E69" s="48"/>
      <c r="F69" s="61"/>
    </row>
    <row r="70" spans="2:25" s="78" customFormat="1" ht="29.4" thickBot="1">
      <c r="B70" s="164" t="s">
        <v>52</v>
      </c>
      <c r="C70" s="165" t="s">
        <v>89</v>
      </c>
      <c r="D70" s="165" t="s">
        <v>90</v>
      </c>
      <c r="E70" s="166" t="s">
        <v>91</v>
      </c>
      <c r="F70" s="249" t="s">
        <v>88</v>
      </c>
      <c r="G70"/>
      <c r="H70"/>
      <c r="I70"/>
      <c r="N70"/>
      <c r="O70"/>
      <c r="P70"/>
      <c r="Q70"/>
      <c r="R70"/>
      <c r="S70"/>
      <c r="T70"/>
      <c r="U70"/>
      <c r="V70"/>
      <c r="W70"/>
      <c r="X70"/>
      <c r="Y70"/>
    </row>
    <row r="71" spans="2:25">
      <c r="B71" s="184">
        <f t="shared" ref="B71:B78" si="13">B58</f>
        <v>44197</v>
      </c>
      <c r="C71" s="219">
        <v>4899800</v>
      </c>
      <c r="D71" s="219">
        <v>37200</v>
      </c>
      <c r="E71" s="167">
        <f>C71-D71</f>
        <v>4862600</v>
      </c>
      <c r="F71" s="255">
        <v>4862600</v>
      </c>
    </row>
    <row r="72" spans="2:25">
      <c r="B72" s="247">
        <f t="shared" si="13"/>
        <v>44228</v>
      </c>
      <c r="C72" s="15">
        <v>5072400</v>
      </c>
      <c r="D72" s="15">
        <v>31800</v>
      </c>
      <c r="E72" s="151">
        <f t="shared" ref="E72:E78" si="14">C72-D72</f>
        <v>5040600</v>
      </c>
      <c r="F72" s="256">
        <v>5040600</v>
      </c>
    </row>
    <row r="73" spans="2:25">
      <c r="B73" s="247">
        <f t="shared" si="13"/>
        <v>44256</v>
      </c>
      <c r="C73" s="15">
        <v>5779600</v>
      </c>
      <c r="D73" s="15">
        <v>33600</v>
      </c>
      <c r="E73" s="151">
        <f t="shared" si="14"/>
        <v>5746000</v>
      </c>
      <c r="F73" s="256">
        <v>5746000</v>
      </c>
    </row>
    <row r="74" spans="2:25">
      <c r="B74" s="183">
        <f t="shared" si="13"/>
        <v>44287</v>
      </c>
      <c r="C74" s="15">
        <v>5203600</v>
      </c>
      <c r="D74" s="15">
        <v>32700</v>
      </c>
      <c r="E74" s="244">
        <f t="shared" si="14"/>
        <v>5170900</v>
      </c>
      <c r="F74" s="256">
        <v>5170900</v>
      </c>
    </row>
    <row r="75" spans="2:25">
      <c r="B75" s="247">
        <f t="shared" si="13"/>
        <v>44317</v>
      </c>
      <c r="C75" s="15">
        <v>5234800</v>
      </c>
      <c r="D75" s="15">
        <v>33300</v>
      </c>
      <c r="E75" s="151">
        <f t="shared" si="14"/>
        <v>5201500</v>
      </c>
      <c r="F75" s="256">
        <v>5201500</v>
      </c>
    </row>
    <row r="76" spans="2:25">
      <c r="B76" s="183">
        <f t="shared" si="13"/>
        <v>44348</v>
      </c>
      <c r="C76" s="15">
        <v>4635900</v>
      </c>
      <c r="D76" s="15">
        <v>32900</v>
      </c>
      <c r="E76" s="151">
        <f t="shared" si="14"/>
        <v>4603000</v>
      </c>
      <c r="F76" s="256">
        <v>4603000</v>
      </c>
    </row>
    <row r="77" spans="2:25">
      <c r="B77" s="247">
        <f t="shared" si="13"/>
        <v>44378</v>
      </c>
      <c r="C77" s="15">
        <v>4208700</v>
      </c>
      <c r="D77" s="15">
        <v>34900</v>
      </c>
      <c r="E77" s="151">
        <f t="shared" si="14"/>
        <v>4173800</v>
      </c>
      <c r="F77" s="256">
        <v>4173800</v>
      </c>
    </row>
    <row r="78" spans="2:25" ht="15" thickBot="1">
      <c r="B78" s="257">
        <f t="shared" si="13"/>
        <v>44409</v>
      </c>
      <c r="C78" s="216">
        <v>4426500</v>
      </c>
      <c r="D78" s="216">
        <v>31900</v>
      </c>
      <c r="E78" s="258">
        <f t="shared" si="14"/>
        <v>4394600</v>
      </c>
      <c r="F78" s="259">
        <v>4394600</v>
      </c>
    </row>
    <row r="79" spans="2:25" ht="15" thickBot="1">
      <c r="B79" s="260" t="s">
        <v>10</v>
      </c>
      <c r="C79" s="106">
        <f>SUM(C71:C78)</f>
        <v>39461300</v>
      </c>
      <c r="D79" s="106">
        <f>SUM(D71:D78)</f>
        <v>268300</v>
      </c>
      <c r="E79" s="106">
        <f>SUM(E71:E78)</f>
        <v>39193000</v>
      </c>
      <c r="F79" s="107">
        <f>SUM(F71:F78)</f>
        <v>39193000</v>
      </c>
    </row>
    <row r="110" spans="1:12">
      <c r="A110" s="40"/>
    </row>
    <row r="111" spans="1:12">
      <c r="L111" s="103"/>
    </row>
  </sheetData>
  <mergeCells count="1">
    <mergeCell ref="B2:F3"/>
  </mergeCells>
  <phoneticPr fontId="19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B1:F13"/>
  <sheetViews>
    <sheetView workbookViewId="0">
      <selection activeCell="E13" sqref="E13"/>
    </sheetView>
  </sheetViews>
  <sheetFormatPr defaultRowHeight="14.4"/>
  <cols>
    <col min="1" max="1" width="3.44140625" customWidth="1"/>
    <col min="2" max="2" width="14" bestFit="1" customWidth="1"/>
    <col min="3" max="3" width="12.6640625" customWidth="1"/>
    <col min="4" max="4" width="12.44140625" customWidth="1"/>
    <col min="5" max="5" width="14.33203125" customWidth="1"/>
    <col min="6" max="6" width="13.6640625" customWidth="1"/>
  </cols>
  <sheetData>
    <row r="1" spans="2:6" ht="15" thickBot="1"/>
    <row r="2" spans="2:6">
      <c r="B2" s="327" t="s">
        <v>82</v>
      </c>
      <c r="C2" s="328"/>
      <c r="D2" s="328"/>
      <c r="E2" s="328"/>
      <c r="F2" s="328"/>
    </row>
    <row r="3" spans="2:6" ht="15" thickBot="1">
      <c r="B3" s="330"/>
      <c r="C3" s="331"/>
      <c r="D3" s="331"/>
      <c r="E3" s="331"/>
      <c r="F3" s="331"/>
    </row>
    <row r="4" spans="2:6" ht="29.4" thickBot="1">
      <c r="B4" s="135" t="s">
        <v>52</v>
      </c>
      <c r="C4" s="136" t="s">
        <v>89</v>
      </c>
      <c r="D4" s="136" t="s">
        <v>90</v>
      </c>
      <c r="E4" s="136" t="s">
        <v>91</v>
      </c>
      <c r="F4" s="136" t="s">
        <v>88</v>
      </c>
    </row>
    <row r="5" spans="2:6">
      <c r="B5" s="109">
        <f>Punjab!B5</f>
        <v>44197</v>
      </c>
      <c r="C5" s="290">
        <v>4090689</v>
      </c>
      <c r="D5" s="290">
        <v>29411</v>
      </c>
      <c r="E5" s="230">
        <f>C5-D5</f>
        <v>4061278</v>
      </c>
      <c r="F5" s="291">
        <v>4061278</v>
      </c>
    </row>
    <row r="6" spans="2:6">
      <c r="B6" s="253">
        <f>Punjab!B6</f>
        <v>44228</v>
      </c>
      <c r="C6" s="292">
        <v>4271122</v>
      </c>
      <c r="D6" s="292">
        <v>25377</v>
      </c>
      <c r="E6" s="209">
        <f>C6-D6</f>
        <v>4245745</v>
      </c>
      <c r="F6" s="293">
        <v>4245745</v>
      </c>
    </row>
    <row r="7" spans="2:6">
      <c r="B7" s="253">
        <f>Punjab!B7</f>
        <v>44256</v>
      </c>
      <c r="C7" s="292">
        <v>4083456</v>
      </c>
      <c r="D7" s="292">
        <v>25576</v>
      </c>
      <c r="E7" s="209">
        <f t="shared" ref="E7:E12" si="0">C7-D7</f>
        <v>4057880</v>
      </c>
      <c r="F7" s="293">
        <v>4057880</v>
      </c>
    </row>
    <row r="8" spans="2:6">
      <c r="B8" s="160">
        <f>Punjab!B8</f>
        <v>44287</v>
      </c>
      <c r="C8" s="292">
        <v>4321677</v>
      </c>
      <c r="D8" s="292">
        <v>23462</v>
      </c>
      <c r="E8" s="209">
        <f t="shared" si="0"/>
        <v>4298215</v>
      </c>
      <c r="F8" s="293">
        <v>4298215</v>
      </c>
    </row>
    <row r="9" spans="2:6">
      <c r="B9" s="253">
        <f>Punjab!B9</f>
        <v>44317</v>
      </c>
      <c r="C9" s="292">
        <v>4430004</v>
      </c>
      <c r="D9" s="292">
        <v>23506</v>
      </c>
      <c r="E9" s="209">
        <f>C9-D9</f>
        <v>4406498</v>
      </c>
      <c r="F9" s="293">
        <v>4406498</v>
      </c>
    </row>
    <row r="10" spans="2:6">
      <c r="B10" s="160">
        <f>Punjab!B10</f>
        <v>44348</v>
      </c>
      <c r="C10" s="292">
        <v>3329888</v>
      </c>
      <c r="D10" s="292">
        <v>21761</v>
      </c>
      <c r="E10" s="209">
        <f t="shared" si="0"/>
        <v>3308127</v>
      </c>
      <c r="F10" s="293">
        <v>3308127</v>
      </c>
    </row>
    <row r="11" spans="2:6">
      <c r="B11" s="253">
        <f>Punjab!B11</f>
        <v>44378</v>
      </c>
      <c r="C11" s="292">
        <v>3242595</v>
      </c>
      <c r="D11" s="292">
        <v>22901</v>
      </c>
      <c r="E11" s="209">
        <f t="shared" si="0"/>
        <v>3219694</v>
      </c>
      <c r="F11" s="293">
        <v>3219694</v>
      </c>
    </row>
    <row r="12" spans="2:6" ht="15" thickBot="1">
      <c r="B12" s="253">
        <f>Punjab!B12</f>
        <v>44409</v>
      </c>
      <c r="C12" s="221">
        <v>3553927</v>
      </c>
      <c r="D12" s="221">
        <v>24247</v>
      </c>
      <c r="E12" s="209">
        <f t="shared" si="0"/>
        <v>3529680</v>
      </c>
      <c r="F12" s="293">
        <v>3529680</v>
      </c>
    </row>
    <row r="13" spans="2:6" ht="15" thickBot="1">
      <c r="B13" s="267" t="s">
        <v>10</v>
      </c>
      <c r="C13" s="199">
        <f>SUM(C5:C12)</f>
        <v>31323358</v>
      </c>
      <c r="D13" s="268">
        <f>SUM(D5:D12)</f>
        <v>196241</v>
      </c>
      <c r="E13" s="199">
        <f>SUM(E5:E12)</f>
        <v>31127117</v>
      </c>
      <c r="F13" s="199">
        <f>SUM(F5:F12)</f>
        <v>31127117</v>
      </c>
    </row>
  </sheetData>
  <mergeCells count="1">
    <mergeCell ref="B2:F3"/>
  </mergeCells>
  <phoneticPr fontId="19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FF0000"/>
  </sheetPr>
  <dimension ref="A3:M120"/>
  <sheetViews>
    <sheetView workbookViewId="0">
      <selection activeCell="G6" sqref="G6"/>
    </sheetView>
  </sheetViews>
  <sheetFormatPr defaultRowHeight="14.4"/>
  <cols>
    <col min="1" max="1" width="10.109375" customWidth="1"/>
    <col min="2" max="2" width="12.44140625" bestFit="1" customWidth="1"/>
    <col min="3" max="5" width="15.6640625" customWidth="1"/>
    <col min="6" max="6" width="10.109375" bestFit="1" customWidth="1"/>
    <col min="7" max="7" width="11.5546875" style="78" customWidth="1"/>
    <col min="8" max="8" width="10.5546875" bestFit="1" customWidth="1"/>
    <col min="9" max="9" width="17.33203125" customWidth="1"/>
    <col min="10" max="10" width="11.5546875" bestFit="1" customWidth="1"/>
    <col min="11" max="11" width="23.88671875" bestFit="1" customWidth="1"/>
    <col min="12" max="12" width="9.88671875" bestFit="1" customWidth="1"/>
  </cols>
  <sheetData>
    <row r="3" spans="1:11">
      <c r="A3" s="1" t="s">
        <v>12</v>
      </c>
      <c r="I3" t="s">
        <v>60</v>
      </c>
      <c r="K3" s="85">
        <v>42142</v>
      </c>
    </row>
    <row r="5" spans="1:11" ht="43.2">
      <c r="A5" s="2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3" t="s">
        <v>55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>
      <c r="A6" s="17">
        <v>42125</v>
      </c>
      <c r="B6" s="18">
        <v>565359</v>
      </c>
      <c r="C6" s="18">
        <v>8510</v>
      </c>
      <c r="D6" s="6">
        <f t="shared" ref="D6:D16" si="0">B6-C6</f>
        <v>556849</v>
      </c>
      <c r="E6" s="8">
        <f t="shared" ref="E6:E18" si="1">D6*5.45</f>
        <v>3034827</v>
      </c>
      <c r="F6" s="19">
        <v>42199</v>
      </c>
      <c r="G6" s="86"/>
      <c r="H6" s="19">
        <v>42261</v>
      </c>
      <c r="I6" s="8">
        <v>0</v>
      </c>
      <c r="J6" s="8">
        <f t="shared" ref="J6:J20" si="2">E6-I6</f>
        <v>3034827</v>
      </c>
      <c r="K6" s="20" t="s">
        <v>13</v>
      </c>
    </row>
    <row r="7" spans="1:11">
      <c r="A7" s="17">
        <v>42156</v>
      </c>
      <c r="B7" s="18">
        <v>2490045</v>
      </c>
      <c r="C7" s="18">
        <v>8556</v>
      </c>
      <c r="D7" s="6">
        <f t="shared" si="0"/>
        <v>2481489</v>
      </c>
      <c r="E7" s="8">
        <f t="shared" si="1"/>
        <v>13524115</v>
      </c>
      <c r="F7" s="19">
        <v>42199</v>
      </c>
      <c r="G7" s="86"/>
      <c r="H7" s="19">
        <v>42261</v>
      </c>
      <c r="I7" s="8">
        <v>11802013</v>
      </c>
      <c r="J7" s="8">
        <f t="shared" si="2"/>
        <v>1722102</v>
      </c>
      <c r="K7" s="21">
        <v>42269</v>
      </c>
    </row>
    <row r="8" spans="1:11">
      <c r="A8" s="17">
        <v>42186</v>
      </c>
      <c r="B8" s="18">
        <v>2844245</v>
      </c>
      <c r="C8" s="18">
        <v>11310</v>
      </c>
      <c r="D8" s="6">
        <f t="shared" si="0"/>
        <v>2832935</v>
      </c>
      <c r="E8" s="8">
        <f t="shared" si="1"/>
        <v>15439496</v>
      </c>
      <c r="F8" s="19">
        <v>42223</v>
      </c>
      <c r="G8" s="86"/>
      <c r="H8" s="22">
        <v>42284</v>
      </c>
      <c r="I8" s="23">
        <v>15439495</v>
      </c>
      <c r="J8" s="8">
        <f t="shared" si="2"/>
        <v>1</v>
      </c>
      <c r="K8" s="21">
        <v>42292</v>
      </c>
    </row>
    <row r="9" spans="1:11">
      <c r="A9" s="17">
        <v>42217</v>
      </c>
      <c r="B9" s="18">
        <v>3477765</v>
      </c>
      <c r="C9" s="18">
        <v>12546</v>
      </c>
      <c r="D9" s="6">
        <f t="shared" si="0"/>
        <v>3465219</v>
      </c>
      <c r="E9" s="8">
        <f t="shared" si="1"/>
        <v>18885444</v>
      </c>
      <c r="F9" s="19">
        <v>42254</v>
      </c>
      <c r="G9" s="86"/>
      <c r="H9" s="22">
        <v>42315</v>
      </c>
      <c r="I9" s="23">
        <v>18884294</v>
      </c>
      <c r="J9" s="8">
        <f t="shared" si="2"/>
        <v>1150</v>
      </c>
      <c r="K9" s="21">
        <v>42317</v>
      </c>
    </row>
    <row r="10" spans="1:11">
      <c r="A10" s="17">
        <v>42248</v>
      </c>
      <c r="B10" s="18">
        <v>3558763</v>
      </c>
      <c r="C10" s="18">
        <v>8258</v>
      </c>
      <c r="D10" s="6">
        <f t="shared" si="0"/>
        <v>3550505</v>
      </c>
      <c r="E10" s="8">
        <f t="shared" si="1"/>
        <v>19350252</v>
      </c>
      <c r="F10" s="19">
        <v>42284</v>
      </c>
      <c r="G10" s="86"/>
      <c r="H10" s="22">
        <v>42345</v>
      </c>
      <c r="I10" s="23">
        <v>16989852</v>
      </c>
      <c r="J10" s="8">
        <f t="shared" si="2"/>
        <v>2360400</v>
      </c>
      <c r="K10" s="21">
        <v>42374</v>
      </c>
    </row>
    <row r="11" spans="1:11">
      <c r="A11" s="17"/>
      <c r="B11" s="38"/>
      <c r="C11" s="38"/>
      <c r="D11" s="6"/>
      <c r="E11" s="8"/>
      <c r="F11" s="19"/>
      <c r="G11" s="86"/>
      <c r="H11" s="22"/>
      <c r="I11" s="8">
        <v>2329960</v>
      </c>
      <c r="J11" s="8">
        <f t="shared" si="2"/>
        <v>-2329960</v>
      </c>
      <c r="K11" s="21">
        <v>42445</v>
      </c>
    </row>
    <row r="12" spans="1:11">
      <c r="A12" s="17">
        <v>42278</v>
      </c>
      <c r="B12" s="18">
        <v>3809181</v>
      </c>
      <c r="C12" s="18">
        <v>15163</v>
      </c>
      <c r="D12" s="6">
        <f t="shared" si="0"/>
        <v>3794018</v>
      </c>
      <c r="E12" s="8">
        <f t="shared" si="1"/>
        <v>20677398</v>
      </c>
      <c r="F12" s="19">
        <v>42313</v>
      </c>
      <c r="G12" s="86"/>
      <c r="H12" s="22">
        <v>42374</v>
      </c>
      <c r="I12" s="23">
        <v>17561214</v>
      </c>
      <c r="J12" s="8">
        <f t="shared" si="2"/>
        <v>3116184</v>
      </c>
      <c r="K12" s="21">
        <v>42380</v>
      </c>
    </row>
    <row r="13" spans="1:11">
      <c r="A13" s="17"/>
      <c r="B13" s="38"/>
      <c r="C13" s="38"/>
      <c r="D13" s="6"/>
      <c r="E13" s="8"/>
      <c r="F13" s="19"/>
      <c r="G13" s="86"/>
      <c r="H13" s="22"/>
      <c r="I13" s="8">
        <v>3093236</v>
      </c>
      <c r="J13" s="8">
        <f t="shared" si="2"/>
        <v>-3093236</v>
      </c>
      <c r="K13" s="21">
        <v>42472</v>
      </c>
    </row>
    <row r="14" spans="1:11">
      <c r="A14" s="17">
        <v>42309</v>
      </c>
      <c r="B14" s="18">
        <v>2580105</v>
      </c>
      <c r="C14" s="18">
        <v>14338</v>
      </c>
      <c r="D14" s="6">
        <f t="shared" si="0"/>
        <v>2565767</v>
      </c>
      <c r="E14" s="8">
        <f t="shared" si="1"/>
        <v>13983430</v>
      </c>
      <c r="F14" s="19">
        <v>42342</v>
      </c>
      <c r="G14" s="86"/>
      <c r="H14" s="22">
        <v>42404</v>
      </c>
      <c r="I14" s="23">
        <v>13983429</v>
      </c>
      <c r="J14" s="8">
        <f t="shared" si="2"/>
        <v>1</v>
      </c>
      <c r="K14" s="21">
        <v>42403</v>
      </c>
    </row>
    <row r="15" spans="1:11">
      <c r="A15" s="17">
        <v>42339</v>
      </c>
      <c r="B15" s="18">
        <v>2976487</v>
      </c>
      <c r="C15" s="18">
        <v>16061</v>
      </c>
      <c r="D15" s="6">
        <f t="shared" si="0"/>
        <v>2960426</v>
      </c>
      <c r="E15" s="8">
        <f t="shared" si="1"/>
        <v>16134322</v>
      </c>
      <c r="F15" s="19">
        <v>42374</v>
      </c>
      <c r="G15" s="86"/>
      <c r="H15" s="22">
        <v>42434</v>
      </c>
      <c r="I15" s="23">
        <v>16134322</v>
      </c>
      <c r="J15" s="8">
        <f t="shared" si="2"/>
        <v>0</v>
      </c>
      <c r="K15" s="21">
        <v>42436</v>
      </c>
    </row>
    <row r="16" spans="1:11">
      <c r="A16" s="17">
        <v>42370</v>
      </c>
      <c r="B16" s="18">
        <v>3114149</v>
      </c>
      <c r="C16" s="18">
        <v>16571</v>
      </c>
      <c r="D16" s="6">
        <f t="shared" si="0"/>
        <v>3097578</v>
      </c>
      <c r="E16" s="8">
        <f t="shared" si="1"/>
        <v>16881800</v>
      </c>
      <c r="F16" s="19">
        <v>42405</v>
      </c>
      <c r="G16" s="86"/>
      <c r="H16" s="22">
        <v>42464</v>
      </c>
      <c r="I16" s="23">
        <v>16881804</v>
      </c>
      <c r="J16" s="8">
        <f t="shared" si="2"/>
        <v>-4</v>
      </c>
      <c r="K16" s="21">
        <v>42465</v>
      </c>
    </row>
    <row r="17" spans="1:11">
      <c r="A17" s="17">
        <v>42401</v>
      </c>
      <c r="B17" s="24">
        <v>3339045</v>
      </c>
      <c r="C17" s="24">
        <v>14080</v>
      </c>
      <c r="D17" s="6">
        <f>B17-C17</f>
        <v>3324965</v>
      </c>
      <c r="E17" s="8">
        <f t="shared" si="1"/>
        <v>18121059</v>
      </c>
      <c r="F17" s="19">
        <v>42433</v>
      </c>
      <c r="G17" s="86"/>
      <c r="H17" s="22">
        <v>42494</v>
      </c>
      <c r="I17" s="23">
        <v>18121060</v>
      </c>
      <c r="J17" s="8">
        <f t="shared" si="2"/>
        <v>-1</v>
      </c>
      <c r="K17" s="21">
        <v>42495</v>
      </c>
    </row>
    <row r="18" spans="1:11">
      <c r="A18" s="17">
        <v>42430</v>
      </c>
      <c r="B18" s="24">
        <v>3946425</v>
      </c>
      <c r="C18" s="24">
        <v>14393</v>
      </c>
      <c r="D18" s="6">
        <f>B18-C18</f>
        <v>3932032</v>
      </c>
      <c r="E18" s="8">
        <f t="shared" si="1"/>
        <v>21429574</v>
      </c>
      <c r="F18" s="19">
        <v>42464</v>
      </c>
      <c r="G18" s="86"/>
      <c r="H18" s="22">
        <f>F18+60</f>
        <v>42524</v>
      </c>
      <c r="I18" s="23">
        <f>E18</f>
        <v>21429574</v>
      </c>
      <c r="J18" s="8">
        <f t="shared" si="2"/>
        <v>0</v>
      </c>
      <c r="K18" s="9">
        <v>42528</v>
      </c>
    </row>
    <row r="19" spans="1:11">
      <c r="A19" s="17">
        <v>42461</v>
      </c>
      <c r="B19" s="24">
        <v>3988765</v>
      </c>
      <c r="C19" s="24">
        <v>14324</v>
      </c>
      <c r="D19" s="6">
        <f>ROUND(B19-C19,0)</f>
        <v>3974441</v>
      </c>
      <c r="E19" s="8">
        <f>D19*5.45</f>
        <v>21660703</v>
      </c>
      <c r="F19" s="19">
        <v>42494</v>
      </c>
      <c r="G19" s="86"/>
      <c r="H19" s="22">
        <f>F19+60</f>
        <v>42554</v>
      </c>
      <c r="I19" s="8">
        <f>E19</f>
        <v>21660703</v>
      </c>
      <c r="J19" s="8">
        <f t="shared" si="2"/>
        <v>0</v>
      </c>
      <c r="K19" s="9">
        <v>42556</v>
      </c>
    </row>
    <row r="20" spans="1:11">
      <c r="A20" s="17">
        <v>42491</v>
      </c>
      <c r="B20" s="24">
        <v>3810242</v>
      </c>
      <c r="C20" s="24">
        <v>13703</v>
      </c>
      <c r="D20" s="6">
        <f>ROUND(B20-C20,0)</f>
        <v>3796539</v>
      </c>
      <c r="E20" s="8">
        <f>D20*5.45</f>
        <v>20691138</v>
      </c>
      <c r="F20" s="19">
        <v>42527</v>
      </c>
      <c r="G20" s="86"/>
      <c r="H20" s="22">
        <f>F20+60</f>
        <v>42587</v>
      </c>
      <c r="I20" s="8">
        <v>20691138</v>
      </c>
      <c r="J20" s="8">
        <f t="shared" si="2"/>
        <v>0</v>
      </c>
      <c r="K20" s="9">
        <v>42588</v>
      </c>
    </row>
    <row r="21" spans="1:11">
      <c r="A21" s="17">
        <v>42522</v>
      </c>
      <c r="B21" s="24">
        <v>3710354</v>
      </c>
      <c r="C21" s="24">
        <v>13100</v>
      </c>
      <c r="D21" s="6">
        <f>ROUND(B21-C21,0)</f>
        <v>3697254</v>
      </c>
      <c r="E21" s="8">
        <f>D21*5.45</f>
        <v>20150034</v>
      </c>
      <c r="F21" s="19">
        <v>42557</v>
      </c>
      <c r="G21" s="86"/>
      <c r="H21" s="22">
        <f>F21+60</f>
        <v>42617</v>
      </c>
      <c r="I21" s="8">
        <v>0</v>
      </c>
      <c r="J21" s="8"/>
      <c r="K21" s="20" t="s">
        <v>13</v>
      </c>
    </row>
    <row r="22" spans="1:11">
      <c r="A22" s="17">
        <v>42552</v>
      </c>
      <c r="B22" s="24">
        <v>3765350</v>
      </c>
      <c r="C22" s="24">
        <v>14735</v>
      </c>
      <c r="D22" s="6">
        <f>ROUND(B22-C22,0)</f>
        <v>3750615</v>
      </c>
      <c r="E22" s="8">
        <f>D22*5.45</f>
        <v>20440852</v>
      </c>
      <c r="F22" s="19">
        <v>42590</v>
      </c>
      <c r="G22" s="86"/>
      <c r="H22" s="22">
        <f>F22+60</f>
        <v>42650</v>
      </c>
      <c r="I22" s="8"/>
      <c r="J22" s="8"/>
      <c r="K22" s="20" t="s">
        <v>14</v>
      </c>
    </row>
    <row r="23" spans="1:11">
      <c r="A23" s="17">
        <v>42583</v>
      </c>
      <c r="B23" s="24"/>
      <c r="C23" s="24"/>
      <c r="D23" s="6"/>
      <c r="E23" s="8"/>
      <c r="F23" s="19"/>
      <c r="G23" s="86"/>
      <c r="H23" s="22"/>
      <c r="I23" s="8"/>
      <c r="J23" s="8"/>
      <c r="K23" s="20" t="s">
        <v>59</v>
      </c>
    </row>
    <row r="24" spans="1:11">
      <c r="A24" s="2" t="s">
        <v>10</v>
      </c>
      <c r="B24" s="3">
        <f>SUM(B6:B23)</f>
        <v>47976280</v>
      </c>
      <c r="C24" s="3">
        <f>SUM(C6:C23)</f>
        <v>195648</v>
      </c>
      <c r="D24" s="3">
        <f>SUM(D6:D23)</f>
        <v>47780632</v>
      </c>
      <c r="E24" s="3">
        <f>SUM(E6:E23)</f>
        <v>260404444</v>
      </c>
      <c r="F24" s="3"/>
      <c r="G24" s="13"/>
      <c r="H24" s="3"/>
      <c r="I24" s="3">
        <f>SUM(I6:I23)</f>
        <v>215002094</v>
      </c>
      <c r="J24" s="3">
        <f>SUM(J6:J23)</f>
        <v>4811464</v>
      </c>
      <c r="K24" s="3"/>
    </row>
    <row r="25" spans="1:11">
      <c r="H25" s="25"/>
      <c r="I25" s="26"/>
      <c r="K25" s="27"/>
    </row>
    <row r="26" spans="1:11">
      <c r="A26" s="1" t="s">
        <v>15</v>
      </c>
      <c r="D26" t="s">
        <v>16</v>
      </c>
      <c r="I26" t="s">
        <v>60</v>
      </c>
      <c r="K26" s="85">
        <v>42142</v>
      </c>
    </row>
    <row r="28" spans="1:11" ht="43.2">
      <c r="A28" s="2"/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13" t="s">
        <v>55</v>
      </c>
      <c r="H28" s="3" t="s">
        <v>6</v>
      </c>
      <c r="I28" s="3" t="s">
        <v>7</v>
      </c>
      <c r="J28" s="3" t="s">
        <v>8</v>
      </c>
      <c r="K28" s="3" t="s">
        <v>9</v>
      </c>
    </row>
    <row r="29" spans="1:11">
      <c r="A29" s="17">
        <v>42125</v>
      </c>
      <c r="B29" s="18">
        <v>857366</v>
      </c>
      <c r="C29" s="18">
        <v>7751</v>
      </c>
      <c r="D29" s="6">
        <f t="shared" ref="D29:D39" si="3">B29-C29</f>
        <v>849615</v>
      </c>
      <c r="E29" s="8">
        <f t="shared" ref="E29:E41" si="4">D29*5.45</f>
        <v>4630402</v>
      </c>
      <c r="F29" s="19">
        <v>42199</v>
      </c>
      <c r="G29" s="86"/>
      <c r="H29" s="19">
        <v>42261</v>
      </c>
      <c r="I29" s="8">
        <v>0</v>
      </c>
      <c r="J29" s="8">
        <f t="shared" ref="J29:J43" si="5">E29-I29</f>
        <v>4630402</v>
      </c>
      <c r="K29" s="16" t="s">
        <v>13</v>
      </c>
    </row>
    <row r="30" spans="1:11">
      <c r="A30" s="17">
        <v>42156</v>
      </c>
      <c r="B30" s="18">
        <v>2465955</v>
      </c>
      <c r="C30" s="18">
        <v>7605</v>
      </c>
      <c r="D30" s="6">
        <f t="shared" si="3"/>
        <v>2458350</v>
      </c>
      <c r="E30" s="8">
        <f t="shared" si="4"/>
        <v>13398008</v>
      </c>
      <c r="F30" s="19">
        <v>42199</v>
      </c>
      <c r="G30" s="86"/>
      <c r="H30" s="19">
        <v>42261</v>
      </c>
      <c r="I30" s="8">
        <v>11691670</v>
      </c>
      <c r="J30" s="8">
        <f t="shared" si="5"/>
        <v>1706338</v>
      </c>
      <c r="K30" s="9">
        <v>42269</v>
      </c>
    </row>
    <row r="31" spans="1:11">
      <c r="A31" s="17">
        <v>42186</v>
      </c>
      <c r="B31" s="18">
        <v>2971429</v>
      </c>
      <c r="C31" s="18">
        <v>13073</v>
      </c>
      <c r="D31" s="6">
        <f t="shared" si="3"/>
        <v>2958356</v>
      </c>
      <c r="E31" s="8">
        <f t="shared" si="4"/>
        <v>16123040</v>
      </c>
      <c r="F31" s="19">
        <v>42223</v>
      </c>
      <c r="G31" s="86"/>
      <c r="H31" s="22">
        <v>42284</v>
      </c>
      <c r="I31" s="23">
        <v>16123041</v>
      </c>
      <c r="J31" s="8">
        <f t="shared" si="5"/>
        <v>-1</v>
      </c>
      <c r="K31" s="10">
        <v>42292</v>
      </c>
    </row>
    <row r="32" spans="1:11">
      <c r="A32" s="17">
        <v>42217</v>
      </c>
      <c r="B32" s="18">
        <v>3595986</v>
      </c>
      <c r="C32" s="18">
        <v>14187</v>
      </c>
      <c r="D32" s="6">
        <f t="shared" si="3"/>
        <v>3581799</v>
      </c>
      <c r="E32" s="8">
        <f t="shared" si="4"/>
        <v>19520805</v>
      </c>
      <c r="F32" s="19">
        <v>42254</v>
      </c>
      <c r="G32" s="86"/>
      <c r="H32" s="22">
        <v>42315</v>
      </c>
      <c r="I32" s="23">
        <v>19519613</v>
      </c>
      <c r="J32" s="8">
        <f t="shared" si="5"/>
        <v>1192</v>
      </c>
      <c r="K32" s="10">
        <v>42338</v>
      </c>
    </row>
    <row r="33" spans="1:11">
      <c r="A33" s="17">
        <v>42248</v>
      </c>
      <c r="B33" s="18">
        <v>3464911</v>
      </c>
      <c r="C33" s="18">
        <v>8842</v>
      </c>
      <c r="D33" s="6">
        <f t="shared" si="3"/>
        <v>3456069</v>
      </c>
      <c r="E33" s="8">
        <f t="shared" si="4"/>
        <v>18835576</v>
      </c>
      <c r="F33" s="19">
        <v>42284</v>
      </c>
      <c r="G33" s="86"/>
      <c r="H33" s="22">
        <v>42345</v>
      </c>
      <c r="I33" s="23">
        <v>16989852</v>
      </c>
      <c r="J33" s="8">
        <f t="shared" si="5"/>
        <v>1845724</v>
      </c>
      <c r="K33" s="9">
        <v>42374</v>
      </c>
    </row>
    <row r="34" spans="1:11">
      <c r="A34" s="17"/>
      <c r="B34" s="38"/>
      <c r="C34" s="38"/>
      <c r="D34" s="6"/>
      <c r="E34" s="8"/>
      <c r="F34" s="19"/>
      <c r="G34" s="86"/>
      <c r="H34" s="22"/>
      <c r="I34" s="8">
        <v>1815332</v>
      </c>
      <c r="J34" s="8">
        <f t="shared" si="5"/>
        <v>-1815332</v>
      </c>
      <c r="K34" s="9">
        <v>42445</v>
      </c>
    </row>
    <row r="35" spans="1:11">
      <c r="A35" s="17">
        <v>42278</v>
      </c>
      <c r="B35" s="18">
        <v>3810506</v>
      </c>
      <c r="C35" s="18">
        <v>16050</v>
      </c>
      <c r="D35" s="6">
        <f t="shared" si="3"/>
        <v>3794456</v>
      </c>
      <c r="E35" s="8">
        <f t="shared" si="4"/>
        <v>20679785</v>
      </c>
      <c r="F35" s="19">
        <v>42313</v>
      </c>
      <c r="G35" s="86"/>
      <c r="H35" s="22">
        <v>42374</v>
      </c>
      <c r="I35" s="23">
        <v>17561191</v>
      </c>
      <c r="J35" s="8">
        <f t="shared" si="5"/>
        <v>3118594</v>
      </c>
      <c r="K35" s="9">
        <v>42381</v>
      </c>
    </row>
    <row r="36" spans="1:11">
      <c r="A36" s="17"/>
      <c r="B36" s="38"/>
      <c r="C36" s="38"/>
      <c r="D36" s="6"/>
      <c r="E36" s="8"/>
      <c r="F36" s="19"/>
      <c r="G36" s="86"/>
      <c r="H36" s="22"/>
      <c r="I36" s="6">
        <v>3118596</v>
      </c>
      <c r="J36" s="8">
        <f t="shared" si="5"/>
        <v>-3118596</v>
      </c>
      <c r="K36" s="9">
        <v>42472</v>
      </c>
    </row>
    <row r="37" spans="1:11">
      <c r="A37" s="17">
        <v>42309</v>
      </c>
      <c r="B37" s="18">
        <v>2808670</v>
      </c>
      <c r="C37" s="18">
        <v>16943</v>
      </c>
      <c r="D37" s="6">
        <f t="shared" si="3"/>
        <v>2791727</v>
      </c>
      <c r="E37" s="8">
        <f t="shared" si="4"/>
        <v>15214912</v>
      </c>
      <c r="F37" s="19">
        <v>42342</v>
      </c>
      <c r="G37" s="86"/>
      <c r="H37" s="22">
        <v>42404</v>
      </c>
      <c r="I37" s="23">
        <v>15214912</v>
      </c>
      <c r="J37" s="8">
        <f t="shared" si="5"/>
        <v>0</v>
      </c>
      <c r="K37" s="9">
        <v>42409</v>
      </c>
    </row>
    <row r="38" spans="1:11">
      <c r="A38" s="17">
        <v>42339</v>
      </c>
      <c r="B38" s="18">
        <v>3158393</v>
      </c>
      <c r="C38" s="18">
        <v>17982</v>
      </c>
      <c r="D38" s="6">
        <f t="shared" si="3"/>
        <v>3140411</v>
      </c>
      <c r="E38" s="8">
        <f t="shared" si="4"/>
        <v>17115240</v>
      </c>
      <c r="F38" s="19">
        <v>42374</v>
      </c>
      <c r="G38" s="86"/>
      <c r="H38" s="22">
        <v>42434</v>
      </c>
      <c r="I38" s="23">
        <v>17115240</v>
      </c>
      <c r="J38" s="8">
        <f t="shared" si="5"/>
        <v>0</v>
      </c>
      <c r="K38" s="9">
        <v>42437</v>
      </c>
    </row>
    <row r="39" spans="1:11">
      <c r="A39" s="17">
        <v>42370</v>
      </c>
      <c r="B39" s="18">
        <v>3125492</v>
      </c>
      <c r="C39" s="18">
        <v>17758</v>
      </c>
      <c r="D39" s="6">
        <f t="shared" si="3"/>
        <v>3107734</v>
      </c>
      <c r="E39" s="8">
        <f t="shared" si="4"/>
        <v>16937150</v>
      </c>
      <c r="F39" s="19">
        <v>42405</v>
      </c>
      <c r="G39" s="86"/>
      <c r="H39" s="22">
        <v>42464</v>
      </c>
      <c r="I39" s="23">
        <v>16914709</v>
      </c>
      <c r="J39" s="8">
        <f t="shared" si="5"/>
        <v>22441</v>
      </c>
      <c r="K39" s="9">
        <v>42467</v>
      </c>
    </row>
    <row r="40" spans="1:11">
      <c r="A40" s="17">
        <v>42401</v>
      </c>
      <c r="B40" s="24">
        <v>3466898</v>
      </c>
      <c r="C40" s="24">
        <v>15912</v>
      </c>
      <c r="D40" s="6">
        <f>B40-C40</f>
        <v>3450986</v>
      </c>
      <c r="E40" s="8">
        <f t="shared" si="4"/>
        <v>18807874</v>
      </c>
      <c r="F40" s="19">
        <v>42433</v>
      </c>
      <c r="G40" s="86"/>
      <c r="H40" s="22">
        <v>42494</v>
      </c>
      <c r="I40" s="23">
        <v>18807877</v>
      </c>
      <c r="J40" s="8">
        <f t="shared" si="5"/>
        <v>-3</v>
      </c>
      <c r="K40" s="9">
        <v>42496</v>
      </c>
    </row>
    <row r="41" spans="1:11">
      <c r="A41" s="17">
        <v>42430</v>
      </c>
      <c r="B41" s="24">
        <v>3827718</v>
      </c>
      <c r="C41" s="24">
        <v>16462</v>
      </c>
      <c r="D41" s="6">
        <f>B41-C41</f>
        <v>3811256</v>
      </c>
      <c r="E41" s="8">
        <f t="shared" si="4"/>
        <v>20771345</v>
      </c>
      <c r="F41" s="19">
        <v>42464</v>
      </c>
      <c r="G41" s="86"/>
      <c r="H41" s="22">
        <f>F41+60</f>
        <v>42524</v>
      </c>
      <c r="I41" s="23">
        <f>E41</f>
        <v>20771345</v>
      </c>
      <c r="J41" s="8">
        <f t="shared" si="5"/>
        <v>0</v>
      </c>
      <c r="K41" s="9">
        <v>42528</v>
      </c>
    </row>
    <row r="42" spans="1:11">
      <c r="A42" s="17">
        <v>42461</v>
      </c>
      <c r="B42" s="24">
        <v>3876382</v>
      </c>
      <c r="C42" s="24">
        <v>15219</v>
      </c>
      <c r="D42" s="6">
        <f>ROUND(B42-C42,0)</f>
        <v>3861163</v>
      </c>
      <c r="E42" s="8">
        <f>D42*5.45</f>
        <v>21043338</v>
      </c>
      <c r="F42" s="19">
        <v>42494</v>
      </c>
      <c r="G42" s="86"/>
      <c r="H42" s="22">
        <f>F42+60</f>
        <v>42554</v>
      </c>
      <c r="I42" s="6">
        <f>E42</f>
        <v>21043338</v>
      </c>
      <c r="J42" s="29">
        <f t="shared" si="5"/>
        <v>0</v>
      </c>
      <c r="K42" s="9">
        <v>42556</v>
      </c>
    </row>
    <row r="43" spans="1:11">
      <c r="A43" s="17">
        <v>42491</v>
      </c>
      <c r="B43" s="24">
        <v>3776121</v>
      </c>
      <c r="C43" s="24">
        <v>14258</v>
      </c>
      <c r="D43" s="6">
        <f>ROUND(B43-C43,0)</f>
        <v>3761863</v>
      </c>
      <c r="E43" s="8">
        <f>D43*5.45</f>
        <v>20502153</v>
      </c>
      <c r="F43" s="19">
        <v>42527</v>
      </c>
      <c r="G43" s="86"/>
      <c r="H43" s="22">
        <f>F43+60</f>
        <v>42587</v>
      </c>
      <c r="I43" s="6">
        <v>20502153</v>
      </c>
      <c r="J43" s="29">
        <f t="shared" si="5"/>
        <v>0</v>
      </c>
      <c r="K43" s="9">
        <v>42588</v>
      </c>
    </row>
    <row r="44" spans="1:11">
      <c r="A44" s="17">
        <v>42522</v>
      </c>
      <c r="B44" s="24">
        <v>3671572</v>
      </c>
      <c r="C44" s="24">
        <v>13667</v>
      </c>
      <c r="D44" s="6">
        <f>ROUND(B44-C44,0)</f>
        <v>3657905</v>
      </c>
      <c r="E44" s="8">
        <f>D44*5.45</f>
        <v>19935582</v>
      </c>
      <c r="F44" s="19">
        <v>42557</v>
      </c>
      <c r="G44" s="86"/>
      <c r="H44" s="22">
        <f>F44+60</f>
        <v>42617</v>
      </c>
      <c r="I44" s="6">
        <v>0</v>
      </c>
      <c r="J44" s="29"/>
      <c r="K44" s="20" t="s">
        <v>13</v>
      </c>
    </row>
    <row r="45" spans="1:11">
      <c r="A45" s="17">
        <v>42552</v>
      </c>
      <c r="B45" s="24">
        <v>3668990</v>
      </c>
      <c r="C45" s="24">
        <v>14203</v>
      </c>
      <c r="D45" s="6">
        <f>ROUND(B45-C45,0)</f>
        <v>3654787</v>
      </c>
      <c r="E45" s="8">
        <f>D45*5.45</f>
        <v>19918589</v>
      </c>
      <c r="F45" s="19">
        <v>42590</v>
      </c>
      <c r="G45" s="86"/>
      <c r="H45" s="22">
        <f>F45+60</f>
        <v>42650</v>
      </c>
      <c r="I45" s="6"/>
      <c r="J45" s="29"/>
      <c r="K45" s="20" t="s">
        <v>14</v>
      </c>
    </row>
    <row r="46" spans="1:11">
      <c r="A46" s="17">
        <v>42583</v>
      </c>
      <c r="B46" s="24"/>
      <c r="C46" s="24"/>
      <c r="D46" s="6"/>
      <c r="E46" s="8"/>
      <c r="F46" s="19"/>
      <c r="G46" s="86"/>
      <c r="H46" s="22"/>
      <c r="I46" s="6"/>
      <c r="J46" s="29"/>
      <c r="K46" s="20" t="s">
        <v>59</v>
      </c>
    </row>
    <row r="47" spans="1:11">
      <c r="A47" s="2" t="s">
        <v>10</v>
      </c>
      <c r="B47" s="3">
        <f>SUM(B29:B46)</f>
        <v>48546389</v>
      </c>
      <c r="C47" s="3">
        <f>SUM(C29:C46)</f>
        <v>209912</v>
      </c>
      <c r="D47" s="3">
        <f>SUM(D29:D46)</f>
        <v>48336477</v>
      </c>
      <c r="E47" s="3">
        <f>SUM(E29:E46)</f>
        <v>263433799</v>
      </c>
      <c r="F47" s="3"/>
      <c r="G47" s="13"/>
      <c r="H47" s="3"/>
      <c r="I47" s="3">
        <f>SUM(I29:I46)</f>
        <v>217188869</v>
      </c>
      <c r="J47" s="3">
        <f>SUM(J29:J46)</f>
        <v>6390759</v>
      </c>
      <c r="K47" s="3"/>
    </row>
    <row r="48" spans="1:11">
      <c r="H48" s="25"/>
      <c r="I48" s="26"/>
      <c r="K48" s="27"/>
    </row>
    <row r="49" spans="1:11">
      <c r="A49" s="1" t="s">
        <v>17</v>
      </c>
      <c r="I49" t="s">
        <v>60</v>
      </c>
      <c r="K49" s="85">
        <v>42144</v>
      </c>
    </row>
    <row r="51" spans="1:11" ht="43.2">
      <c r="A51" s="2"/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13" t="s">
        <v>55</v>
      </c>
      <c r="H51" s="3" t="s">
        <v>6</v>
      </c>
      <c r="I51" s="3" t="s">
        <v>7</v>
      </c>
      <c r="J51" s="3" t="s">
        <v>8</v>
      </c>
      <c r="K51" s="3" t="s">
        <v>9</v>
      </c>
    </row>
    <row r="52" spans="1:11">
      <c r="A52" s="17">
        <v>42125</v>
      </c>
      <c r="B52" s="18">
        <v>297723</v>
      </c>
      <c r="C52" s="18">
        <v>4827</v>
      </c>
      <c r="D52" s="6">
        <f t="shared" ref="D52:D63" si="6">B52-C52</f>
        <v>292896</v>
      </c>
      <c r="E52" s="8">
        <f t="shared" ref="E52:E65" si="7">D52*5.45</f>
        <v>1596283</v>
      </c>
      <c r="F52" s="19">
        <v>42199</v>
      </c>
      <c r="G52" s="86"/>
      <c r="H52" s="19">
        <v>42261</v>
      </c>
      <c r="I52" s="8">
        <v>0</v>
      </c>
      <c r="J52" s="8">
        <f t="shared" ref="J52:J67" si="8">E52-I52</f>
        <v>1596283</v>
      </c>
      <c r="K52" s="16" t="s">
        <v>13</v>
      </c>
    </row>
    <row r="53" spans="1:11">
      <c r="A53" s="17">
        <v>42156</v>
      </c>
      <c r="B53" s="18">
        <v>2220047</v>
      </c>
      <c r="C53" s="18">
        <v>8690</v>
      </c>
      <c r="D53" s="6">
        <f t="shared" si="6"/>
        <v>2211357</v>
      </c>
      <c r="E53" s="8">
        <f t="shared" si="7"/>
        <v>12051896</v>
      </c>
      <c r="F53" s="19">
        <v>42199</v>
      </c>
      <c r="G53" s="86"/>
      <c r="H53" s="19">
        <v>42261</v>
      </c>
      <c r="I53" s="8">
        <v>10413387</v>
      </c>
      <c r="J53" s="8">
        <f t="shared" si="8"/>
        <v>1638509</v>
      </c>
      <c r="K53" s="10">
        <v>42283</v>
      </c>
    </row>
    <row r="54" spans="1:11">
      <c r="A54" s="17"/>
      <c r="B54" s="38"/>
      <c r="C54" s="38"/>
      <c r="D54" s="6"/>
      <c r="E54" s="8"/>
      <c r="F54" s="19"/>
      <c r="G54" s="86"/>
      <c r="H54" s="19"/>
      <c r="I54" s="6">
        <v>83423</v>
      </c>
      <c r="J54" s="8">
        <f t="shared" si="8"/>
        <v>-83423</v>
      </c>
      <c r="K54" s="9">
        <v>42486</v>
      </c>
    </row>
    <row r="55" spans="1:11">
      <c r="A55" s="17">
        <v>42186</v>
      </c>
      <c r="B55" s="18">
        <v>2593929</v>
      </c>
      <c r="C55" s="18">
        <v>14649</v>
      </c>
      <c r="D55" s="6">
        <f t="shared" si="6"/>
        <v>2579280</v>
      </c>
      <c r="E55" s="8">
        <f t="shared" si="7"/>
        <v>14057076</v>
      </c>
      <c r="F55" s="19">
        <v>42223</v>
      </c>
      <c r="G55" s="86"/>
      <c r="H55" s="22">
        <v>42284</v>
      </c>
      <c r="I55" s="23">
        <f>E55</f>
        <v>14057076</v>
      </c>
      <c r="J55" s="8">
        <f t="shared" si="8"/>
        <v>0</v>
      </c>
      <c r="K55" s="10">
        <v>42306</v>
      </c>
    </row>
    <row r="56" spans="1:11">
      <c r="A56" s="17">
        <v>42217</v>
      </c>
      <c r="B56" s="18">
        <v>3452775</v>
      </c>
      <c r="C56" s="18">
        <v>15980</v>
      </c>
      <c r="D56" s="6">
        <f t="shared" si="6"/>
        <v>3436795</v>
      </c>
      <c r="E56" s="8">
        <f t="shared" si="7"/>
        <v>18730533</v>
      </c>
      <c r="F56" s="19">
        <v>42254</v>
      </c>
      <c r="G56" s="86"/>
      <c r="H56" s="22">
        <v>42315</v>
      </c>
      <c r="I56" s="23">
        <v>18729383</v>
      </c>
      <c r="J56" s="8">
        <f t="shared" si="8"/>
        <v>1150</v>
      </c>
      <c r="K56" s="10">
        <v>42332</v>
      </c>
    </row>
    <row r="57" spans="1:11">
      <c r="A57" s="17">
        <v>42248</v>
      </c>
      <c r="B57" s="18">
        <v>3433552</v>
      </c>
      <c r="C57" s="18">
        <v>9238</v>
      </c>
      <c r="D57" s="6">
        <f t="shared" si="6"/>
        <v>3424314</v>
      </c>
      <c r="E57" s="8">
        <f t="shared" si="7"/>
        <v>18662511</v>
      </c>
      <c r="F57" s="19">
        <v>42284</v>
      </c>
      <c r="G57" s="86"/>
      <c r="H57" s="22">
        <v>42345</v>
      </c>
      <c r="I57" s="23">
        <v>16989852</v>
      </c>
      <c r="J57" s="8">
        <f t="shared" si="8"/>
        <v>1672659</v>
      </c>
      <c r="K57" s="9">
        <v>42374</v>
      </c>
    </row>
    <row r="58" spans="1:11">
      <c r="A58" s="17"/>
      <c r="B58" s="38"/>
      <c r="C58" s="38"/>
      <c r="D58" s="6"/>
      <c r="E58" s="8"/>
      <c r="F58" s="19"/>
      <c r="G58" s="86"/>
      <c r="H58" s="22"/>
      <c r="I58" s="8">
        <v>1642220</v>
      </c>
      <c r="J58" s="8">
        <f t="shared" si="8"/>
        <v>-1642220</v>
      </c>
      <c r="K58" s="9">
        <v>42445</v>
      </c>
    </row>
    <row r="59" spans="1:11">
      <c r="A59" s="17">
        <v>42278</v>
      </c>
      <c r="B59" s="18">
        <v>3853340</v>
      </c>
      <c r="C59" s="18">
        <v>17531</v>
      </c>
      <c r="D59" s="6">
        <f t="shared" si="6"/>
        <v>3835809</v>
      </c>
      <c r="E59" s="8">
        <f t="shared" si="7"/>
        <v>20905159</v>
      </c>
      <c r="F59" s="19">
        <v>42313</v>
      </c>
      <c r="G59" s="86"/>
      <c r="H59" s="22">
        <v>42374</v>
      </c>
      <c r="I59" s="23">
        <v>17588829</v>
      </c>
      <c r="J59" s="8">
        <f t="shared" si="8"/>
        <v>3316330</v>
      </c>
      <c r="K59" s="9">
        <v>42394</v>
      </c>
    </row>
    <row r="60" spans="1:11">
      <c r="A60" s="17"/>
      <c r="B60" s="38"/>
      <c r="C60" s="38"/>
      <c r="D60" s="6"/>
      <c r="E60" s="8"/>
      <c r="F60" s="19"/>
      <c r="G60" s="86"/>
      <c r="H60" s="22"/>
      <c r="I60" s="8">
        <v>3316331</v>
      </c>
      <c r="J60" s="8">
        <f t="shared" si="8"/>
        <v>-3316331</v>
      </c>
      <c r="K60" s="9">
        <v>42472</v>
      </c>
    </row>
    <row r="61" spans="1:11">
      <c r="A61" s="17">
        <v>42309</v>
      </c>
      <c r="B61" s="18">
        <v>2785259</v>
      </c>
      <c r="C61" s="18">
        <v>18125</v>
      </c>
      <c r="D61" s="6">
        <f t="shared" si="6"/>
        <v>2767134</v>
      </c>
      <c r="E61" s="8">
        <f t="shared" si="7"/>
        <v>15080880</v>
      </c>
      <c r="F61" s="19">
        <v>42342</v>
      </c>
      <c r="G61" s="86"/>
      <c r="H61" s="22">
        <v>42404</v>
      </c>
      <c r="I61" s="23">
        <v>15080882</v>
      </c>
      <c r="J61" s="8">
        <f t="shared" si="8"/>
        <v>-2</v>
      </c>
      <c r="K61" s="9">
        <v>42412</v>
      </c>
    </row>
    <row r="62" spans="1:11">
      <c r="A62" s="17">
        <v>42339</v>
      </c>
      <c r="B62" s="18">
        <v>3155149</v>
      </c>
      <c r="C62" s="18">
        <v>19153</v>
      </c>
      <c r="D62" s="6">
        <f t="shared" si="6"/>
        <v>3135996</v>
      </c>
      <c r="E62" s="8">
        <f t="shared" si="7"/>
        <v>17091178</v>
      </c>
      <c r="F62" s="19">
        <v>42374</v>
      </c>
      <c r="G62" s="86"/>
      <c r="H62" s="22">
        <v>42434</v>
      </c>
      <c r="I62" s="23">
        <v>17091179</v>
      </c>
      <c r="J62" s="8">
        <f t="shared" si="8"/>
        <v>-1</v>
      </c>
      <c r="K62" s="9">
        <v>42458</v>
      </c>
    </row>
    <row r="63" spans="1:11">
      <c r="A63" s="17">
        <v>42370</v>
      </c>
      <c r="B63" s="18">
        <v>3173257</v>
      </c>
      <c r="C63" s="18">
        <v>19818</v>
      </c>
      <c r="D63" s="6">
        <f t="shared" si="6"/>
        <v>3153439</v>
      </c>
      <c r="E63" s="8">
        <f t="shared" si="7"/>
        <v>17186243</v>
      </c>
      <c r="F63" s="19">
        <v>42405</v>
      </c>
      <c r="G63" s="86"/>
      <c r="H63" s="22">
        <v>42464</v>
      </c>
      <c r="I63" s="23">
        <v>17186237</v>
      </c>
      <c r="J63" s="8">
        <f t="shared" si="8"/>
        <v>6</v>
      </c>
      <c r="K63" s="9">
        <v>42467</v>
      </c>
    </row>
    <row r="64" spans="1:11">
      <c r="A64" s="17">
        <v>42401</v>
      </c>
      <c r="B64" s="24">
        <v>3452069</v>
      </c>
      <c r="C64" s="24">
        <v>16921</v>
      </c>
      <c r="D64" s="6">
        <f>B64-C64</f>
        <v>3435148</v>
      </c>
      <c r="E64" s="8">
        <f t="shared" si="7"/>
        <v>18721557</v>
      </c>
      <c r="F64" s="19">
        <v>42433</v>
      </c>
      <c r="G64" s="86"/>
      <c r="H64" s="22">
        <v>42494</v>
      </c>
      <c r="I64" s="23">
        <v>18721556</v>
      </c>
      <c r="J64" s="8">
        <f t="shared" si="8"/>
        <v>1</v>
      </c>
      <c r="K64" s="9">
        <v>42496</v>
      </c>
    </row>
    <row r="65" spans="1:11">
      <c r="A65" s="17">
        <v>42430</v>
      </c>
      <c r="B65" s="24">
        <v>4003236</v>
      </c>
      <c r="C65" s="30">
        <v>17782</v>
      </c>
      <c r="D65" s="6">
        <f>B65-C65</f>
        <v>3985454</v>
      </c>
      <c r="E65" s="8">
        <f t="shared" si="7"/>
        <v>21720724</v>
      </c>
      <c r="F65" s="19">
        <v>42464</v>
      </c>
      <c r="G65" s="86"/>
      <c r="H65" s="22">
        <f>F65+60</f>
        <v>42524</v>
      </c>
      <c r="I65" s="23">
        <f>E65</f>
        <v>21720724</v>
      </c>
      <c r="J65" s="8">
        <f t="shared" si="8"/>
        <v>0</v>
      </c>
      <c r="K65" s="9">
        <v>42528</v>
      </c>
    </row>
    <row r="66" spans="1:11">
      <c r="A66" s="17">
        <v>42461</v>
      </c>
      <c r="B66" s="24">
        <v>4089995</v>
      </c>
      <c r="C66" s="24">
        <v>16203</v>
      </c>
      <c r="D66" s="6">
        <f>ROUND(B66-C66,0)</f>
        <v>4073792</v>
      </c>
      <c r="E66" s="8">
        <f>D66*5.45</f>
        <v>22202166</v>
      </c>
      <c r="F66" s="19">
        <v>42494</v>
      </c>
      <c r="G66" s="86"/>
      <c r="H66" s="22">
        <f>F66+60</f>
        <v>42554</v>
      </c>
      <c r="I66" s="6">
        <f>E66</f>
        <v>22202166</v>
      </c>
      <c r="J66" s="29">
        <f t="shared" si="8"/>
        <v>0</v>
      </c>
      <c r="K66" s="9">
        <v>42556</v>
      </c>
    </row>
    <row r="67" spans="1:11">
      <c r="A67" s="17">
        <v>42491</v>
      </c>
      <c r="B67" s="24">
        <v>3881957</v>
      </c>
      <c r="C67" s="24">
        <v>15101</v>
      </c>
      <c r="D67" s="6">
        <f>ROUND(B67-C67,0)</f>
        <v>3866856</v>
      </c>
      <c r="E67" s="8">
        <f>D67*5.45</f>
        <v>21074365</v>
      </c>
      <c r="F67" s="19">
        <v>42527</v>
      </c>
      <c r="G67" s="86"/>
      <c r="H67" s="22">
        <f>F67+60</f>
        <v>42587</v>
      </c>
      <c r="I67" s="6">
        <v>21074365</v>
      </c>
      <c r="J67" s="29">
        <f t="shared" si="8"/>
        <v>0</v>
      </c>
      <c r="K67" s="9">
        <v>42588</v>
      </c>
    </row>
    <row r="68" spans="1:11">
      <c r="A68" s="17">
        <v>42522</v>
      </c>
      <c r="B68" s="24">
        <v>3843964</v>
      </c>
      <c r="C68" s="24">
        <v>14482</v>
      </c>
      <c r="D68" s="6">
        <f>ROUND(B68-C68,0)</f>
        <v>3829482</v>
      </c>
      <c r="E68" s="8">
        <f>D68*5.45</f>
        <v>20870677</v>
      </c>
      <c r="F68" s="19">
        <v>42557</v>
      </c>
      <c r="G68" s="86"/>
      <c r="H68" s="22">
        <f>F68+60</f>
        <v>42617</v>
      </c>
      <c r="I68" s="6">
        <v>0</v>
      </c>
      <c r="J68" s="8"/>
      <c r="K68" s="20" t="s">
        <v>13</v>
      </c>
    </row>
    <row r="69" spans="1:11">
      <c r="A69" s="17">
        <v>42552</v>
      </c>
      <c r="B69" s="24">
        <v>3841037</v>
      </c>
      <c r="C69" s="24">
        <v>15712</v>
      </c>
      <c r="D69" s="6">
        <f>ROUND(B69-C69,0)</f>
        <v>3825325</v>
      </c>
      <c r="E69" s="8">
        <f>D69*5.45</f>
        <v>20848021</v>
      </c>
      <c r="F69" s="19">
        <v>42590</v>
      </c>
      <c r="G69" s="86"/>
      <c r="H69" s="22">
        <f>F69+60</f>
        <v>42650</v>
      </c>
      <c r="I69" s="6"/>
      <c r="J69" s="8"/>
      <c r="K69" s="20" t="s">
        <v>14</v>
      </c>
    </row>
    <row r="70" spans="1:11">
      <c r="A70" s="17">
        <v>42583</v>
      </c>
      <c r="B70" s="24"/>
      <c r="C70" s="24"/>
      <c r="D70" s="6"/>
      <c r="E70" s="8"/>
      <c r="F70" s="19"/>
      <c r="G70" s="86"/>
      <c r="H70" s="22"/>
      <c r="I70" s="6"/>
      <c r="J70" s="8"/>
      <c r="K70" s="20" t="s">
        <v>59</v>
      </c>
    </row>
    <row r="71" spans="1:11">
      <c r="A71" s="2" t="s">
        <v>10</v>
      </c>
      <c r="B71" s="3">
        <f>SUM(B52:B70)</f>
        <v>48077289</v>
      </c>
      <c r="C71" s="3">
        <f>SUM(C52:C70)</f>
        <v>224212</v>
      </c>
      <c r="D71" s="3">
        <f>SUM(D52:D70)</f>
        <v>47853077</v>
      </c>
      <c r="E71" s="3">
        <f>SUM(E52:E70)</f>
        <v>260799269</v>
      </c>
      <c r="F71" s="3"/>
      <c r="G71" s="13"/>
      <c r="H71" s="3"/>
      <c r="I71" s="3">
        <f>SUM(I52:I70)</f>
        <v>215897610</v>
      </c>
      <c r="J71" s="3">
        <f>SUM(J52:J70)</f>
        <v>3182961</v>
      </c>
      <c r="K71" s="3"/>
    </row>
    <row r="72" spans="1:11">
      <c r="H72" s="25"/>
      <c r="I72" s="26"/>
    </row>
    <row r="73" spans="1:11">
      <c r="A73" s="1" t="s">
        <v>18</v>
      </c>
      <c r="I73" t="s">
        <v>60</v>
      </c>
      <c r="K73" s="85">
        <v>42144</v>
      </c>
    </row>
    <row r="75" spans="1:11" ht="43.2">
      <c r="A75" s="2"/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13" t="s">
        <v>55</v>
      </c>
      <c r="H75" s="3" t="s">
        <v>6</v>
      </c>
      <c r="I75" s="3" t="s">
        <v>7</v>
      </c>
      <c r="J75" s="3" t="s">
        <v>8</v>
      </c>
      <c r="K75" s="3" t="s">
        <v>9</v>
      </c>
    </row>
    <row r="76" spans="1:11">
      <c r="A76" s="17">
        <v>42125</v>
      </c>
      <c r="B76" s="30">
        <v>560031</v>
      </c>
      <c r="C76" s="32">
        <v>7619</v>
      </c>
      <c r="D76" s="33">
        <f t="shared" ref="D76:D88" si="9">B76-C76</f>
        <v>552412</v>
      </c>
      <c r="E76" s="34">
        <f t="shared" ref="E76:E88" si="10">D76*5.45</f>
        <v>3010645</v>
      </c>
      <c r="F76" s="19">
        <v>42199</v>
      </c>
      <c r="G76" s="86"/>
      <c r="H76" s="19">
        <v>42261</v>
      </c>
      <c r="I76" s="8">
        <v>0</v>
      </c>
      <c r="J76" s="8">
        <f t="shared" ref="J76:J90" si="11">E76-I76</f>
        <v>3010645</v>
      </c>
      <c r="K76" s="16" t="s">
        <v>13</v>
      </c>
    </row>
    <row r="77" spans="1:11">
      <c r="A77" s="17">
        <v>42156</v>
      </c>
      <c r="B77" s="32">
        <v>2242454</v>
      </c>
      <c r="C77" s="32">
        <v>9299</v>
      </c>
      <c r="D77" s="33">
        <f t="shared" si="9"/>
        <v>2233155</v>
      </c>
      <c r="E77" s="34">
        <f t="shared" si="10"/>
        <v>12170695</v>
      </c>
      <c r="F77" s="19">
        <v>42199</v>
      </c>
      <c r="G77" s="86"/>
      <c r="H77" s="19">
        <v>42261</v>
      </c>
      <c r="I77" s="8">
        <v>12139106</v>
      </c>
      <c r="J77" s="8">
        <f t="shared" si="11"/>
        <v>31589</v>
      </c>
      <c r="K77" s="9">
        <v>42263</v>
      </c>
    </row>
    <row r="78" spans="1:11">
      <c r="A78" s="17">
        <v>42186</v>
      </c>
      <c r="B78" s="30">
        <v>2918066</v>
      </c>
      <c r="C78" s="30">
        <v>14152</v>
      </c>
      <c r="D78" s="33">
        <f t="shared" si="9"/>
        <v>2903914</v>
      </c>
      <c r="E78" s="34">
        <f t="shared" si="10"/>
        <v>15826331</v>
      </c>
      <c r="F78" s="19">
        <v>42223</v>
      </c>
      <c r="G78" s="86"/>
      <c r="H78" s="22">
        <v>42284</v>
      </c>
      <c r="I78" s="23">
        <f>10000000+5826326</f>
        <v>15826326</v>
      </c>
      <c r="J78" s="8">
        <f t="shared" si="11"/>
        <v>5</v>
      </c>
      <c r="K78" s="9">
        <v>42284</v>
      </c>
    </row>
    <row r="79" spans="1:11">
      <c r="A79" s="17">
        <v>42217</v>
      </c>
      <c r="B79" s="32">
        <v>3508574</v>
      </c>
      <c r="C79" s="32">
        <v>15706</v>
      </c>
      <c r="D79" s="33">
        <f t="shared" si="9"/>
        <v>3492868</v>
      </c>
      <c r="E79" s="34">
        <f t="shared" si="10"/>
        <v>19036131</v>
      </c>
      <c r="F79" s="19">
        <v>42254</v>
      </c>
      <c r="G79" s="86"/>
      <c r="H79" s="22">
        <v>42315</v>
      </c>
      <c r="I79" s="23">
        <f>17750865+1284101</f>
        <v>19034966</v>
      </c>
      <c r="J79" s="8">
        <f t="shared" si="11"/>
        <v>1165</v>
      </c>
      <c r="K79" s="9">
        <v>42317</v>
      </c>
    </row>
    <row r="80" spans="1:11">
      <c r="A80" s="17">
        <v>42248</v>
      </c>
      <c r="B80" s="18">
        <v>3406570</v>
      </c>
      <c r="C80" s="18">
        <v>9802</v>
      </c>
      <c r="D80" s="33">
        <f t="shared" si="9"/>
        <v>3396768</v>
      </c>
      <c r="E80" s="34">
        <f t="shared" si="10"/>
        <v>18512386</v>
      </c>
      <c r="F80" s="19">
        <v>42284</v>
      </c>
      <c r="G80" s="86"/>
      <c r="H80" s="22">
        <v>42345</v>
      </c>
      <c r="I80" s="23">
        <v>16989852</v>
      </c>
      <c r="J80" s="8">
        <f t="shared" si="11"/>
        <v>1522534</v>
      </c>
      <c r="K80" s="9">
        <v>42374</v>
      </c>
    </row>
    <row r="81" spans="1:11">
      <c r="A81" s="17"/>
      <c r="B81" s="38"/>
      <c r="C81" s="38"/>
      <c r="D81" s="33"/>
      <c r="E81" s="34"/>
      <c r="F81" s="19"/>
      <c r="G81" s="86"/>
      <c r="H81" s="22"/>
      <c r="I81" s="8">
        <v>1523697</v>
      </c>
      <c r="J81" s="8">
        <f t="shared" si="11"/>
        <v>-1523697</v>
      </c>
      <c r="K81" s="9">
        <v>42445</v>
      </c>
    </row>
    <row r="82" spans="1:11">
      <c r="A82" s="17">
        <v>42278</v>
      </c>
      <c r="B82" s="18">
        <v>3708280</v>
      </c>
      <c r="C82" s="18">
        <v>17799</v>
      </c>
      <c r="D82" s="33">
        <f t="shared" si="9"/>
        <v>3690481</v>
      </c>
      <c r="E82" s="34">
        <f t="shared" si="10"/>
        <v>20113121</v>
      </c>
      <c r="F82" s="19">
        <v>42313</v>
      </c>
      <c r="G82" s="86"/>
      <c r="H82" s="22">
        <v>42374</v>
      </c>
      <c r="I82" s="23">
        <v>17566391</v>
      </c>
      <c r="J82" s="8">
        <f t="shared" si="11"/>
        <v>2546730</v>
      </c>
      <c r="K82" s="9">
        <v>42380</v>
      </c>
    </row>
    <row r="83" spans="1:11">
      <c r="A83" s="17"/>
      <c r="B83" s="38"/>
      <c r="C83" s="38"/>
      <c r="D83" s="33"/>
      <c r="E83" s="34"/>
      <c r="F83" s="19"/>
      <c r="G83" s="86"/>
      <c r="H83" s="22"/>
      <c r="I83" s="8">
        <v>2546733</v>
      </c>
      <c r="J83" s="8">
        <f t="shared" si="11"/>
        <v>-2546733</v>
      </c>
      <c r="K83" s="9">
        <v>42472</v>
      </c>
    </row>
    <row r="84" spans="1:11">
      <c r="A84" s="17">
        <v>42309</v>
      </c>
      <c r="B84" s="18">
        <v>2659004</v>
      </c>
      <c r="C84" s="18">
        <v>18555</v>
      </c>
      <c r="D84" s="6">
        <f t="shared" si="9"/>
        <v>2640449</v>
      </c>
      <c r="E84" s="8">
        <f t="shared" si="10"/>
        <v>14390447</v>
      </c>
      <c r="F84" s="19">
        <v>42342</v>
      </c>
      <c r="G84" s="86"/>
      <c r="H84" s="22">
        <v>42404</v>
      </c>
      <c r="I84" s="23">
        <v>14390446</v>
      </c>
      <c r="J84" s="8">
        <f t="shared" si="11"/>
        <v>1</v>
      </c>
      <c r="K84" s="9">
        <v>42403</v>
      </c>
    </row>
    <row r="85" spans="1:11">
      <c r="A85" s="17">
        <v>42339</v>
      </c>
      <c r="B85" s="18">
        <v>3061826</v>
      </c>
      <c r="C85" s="18">
        <v>20347</v>
      </c>
      <c r="D85" s="6">
        <f t="shared" si="9"/>
        <v>3041479</v>
      </c>
      <c r="E85" s="8">
        <f t="shared" si="10"/>
        <v>16576061</v>
      </c>
      <c r="F85" s="19">
        <v>42374</v>
      </c>
      <c r="G85" s="86"/>
      <c r="H85" s="22">
        <v>42434</v>
      </c>
      <c r="I85" s="23">
        <v>16576062</v>
      </c>
      <c r="J85" s="8">
        <f t="shared" si="11"/>
        <v>-1</v>
      </c>
      <c r="K85" s="9">
        <v>42436</v>
      </c>
    </row>
    <row r="86" spans="1:11">
      <c r="A86" s="17">
        <v>42370</v>
      </c>
      <c r="B86" s="18">
        <v>3112903</v>
      </c>
      <c r="C86" s="18">
        <v>20204</v>
      </c>
      <c r="D86" s="6">
        <f t="shared" si="9"/>
        <v>3092699</v>
      </c>
      <c r="E86" s="4">
        <f t="shared" si="10"/>
        <v>16855210</v>
      </c>
      <c r="F86" s="19">
        <v>42405</v>
      </c>
      <c r="G86" s="86"/>
      <c r="H86" s="22">
        <v>42464</v>
      </c>
      <c r="I86" s="23">
        <v>16855210</v>
      </c>
      <c r="J86" s="8">
        <f t="shared" si="11"/>
        <v>0</v>
      </c>
      <c r="K86" s="9">
        <v>42465</v>
      </c>
    </row>
    <row r="87" spans="1:11">
      <c r="A87" s="17">
        <v>42401</v>
      </c>
      <c r="B87" s="18">
        <v>3409537</v>
      </c>
      <c r="C87" s="18">
        <v>17186</v>
      </c>
      <c r="D87" s="6">
        <f t="shared" si="9"/>
        <v>3392351</v>
      </c>
      <c r="E87" s="4">
        <f t="shared" si="10"/>
        <v>18488313</v>
      </c>
      <c r="F87" s="19">
        <v>42433</v>
      </c>
      <c r="G87" s="86"/>
      <c r="H87" s="22">
        <v>42494</v>
      </c>
      <c r="I87" s="23">
        <v>18488313</v>
      </c>
      <c r="J87" s="8">
        <f t="shared" si="11"/>
        <v>0</v>
      </c>
      <c r="K87" s="9">
        <v>42495</v>
      </c>
    </row>
    <row r="88" spans="1:11">
      <c r="A88" s="17">
        <v>42430</v>
      </c>
      <c r="B88" s="18">
        <v>3669874</v>
      </c>
      <c r="C88" s="18">
        <v>17672</v>
      </c>
      <c r="D88" s="6">
        <f t="shared" si="9"/>
        <v>3652202</v>
      </c>
      <c r="E88" s="4">
        <f t="shared" si="10"/>
        <v>19904501</v>
      </c>
      <c r="F88" s="19">
        <v>42464</v>
      </c>
      <c r="G88" s="86"/>
      <c r="H88" s="22">
        <f>F88+60</f>
        <v>42524</v>
      </c>
      <c r="I88" s="23">
        <f>E88</f>
        <v>19904501</v>
      </c>
      <c r="J88" s="8">
        <f t="shared" si="11"/>
        <v>0</v>
      </c>
      <c r="K88" s="9">
        <v>42528</v>
      </c>
    </row>
    <row r="89" spans="1:11">
      <c r="A89" s="17">
        <v>42461</v>
      </c>
      <c r="B89" s="24">
        <v>3759018</v>
      </c>
      <c r="C89" s="24">
        <v>16363</v>
      </c>
      <c r="D89" s="6">
        <f>ROUND(B89-C89,0)</f>
        <v>3742655</v>
      </c>
      <c r="E89" s="8">
        <f>D89*5.45</f>
        <v>20397470</v>
      </c>
      <c r="F89" s="19">
        <v>42494</v>
      </c>
      <c r="G89" s="86"/>
      <c r="H89" s="22">
        <f>F89+60</f>
        <v>42554</v>
      </c>
      <c r="I89" s="6">
        <f>E89</f>
        <v>20397470</v>
      </c>
      <c r="J89" s="29">
        <f t="shared" si="11"/>
        <v>0</v>
      </c>
      <c r="K89" s="9">
        <v>42556</v>
      </c>
    </row>
    <row r="90" spans="1:11">
      <c r="A90" s="17">
        <v>42491</v>
      </c>
      <c r="B90" s="24">
        <v>3682717</v>
      </c>
      <c r="C90" s="24">
        <v>15290</v>
      </c>
      <c r="D90" s="6">
        <f>ROUND(B90-C90,0)</f>
        <v>3667427</v>
      </c>
      <c r="E90" s="8">
        <f>D90*5.45</f>
        <v>19987477</v>
      </c>
      <c r="F90" s="19">
        <v>42527</v>
      </c>
      <c r="G90" s="86"/>
      <c r="H90" s="22">
        <f>F90+60</f>
        <v>42587</v>
      </c>
      <c r="I90" s="8">
        <v>19987477</v>
      </c>
      <c r="J90" s="29">
        <f t="shared" si="11"/>
        <v>0</v>
      </c>
      <c r="K90" s="9">
        <v>42588</v>
      </c>
    </row>
    <row r="91" spans="1:11">
      <c r="A91" s="17">
        <v>42522</v>
      </c>
      <c r="B91" s="24">
        <v>3608024</v>
      </c>
      <c r="C91" s="24">
        <v>14846</v>
      </c>
      <c r="D91" s="6">
        <f>ROUND(B91-C91,0)</f>
        <v>3593178</v>
      </c>
      <c r="E91" s="8">
        <f>D91*5.45</f>
        <v>19582820</v>
      </c>
      <c r="F91" s="19">
        <v>42557</v>
      </c>
      <c r="G91" s="86"/>
      <c r="H91" s="22">
        <f>F91+60</f>
        <v>42617</v>
      </c>
      <c r="I91" s="8">
        <v>0</v>
      </c>
      <c r="J91" s="8"/>
      <c r="K91" s="20" t="s">
        <v>13</v>
      </c>
    </row>
    <row r="92" spans="1:11">
      <c r="A92" s="17">
        <v>42552</v>
      </c>
      <c r="B92" s="24">
        <v>3434612</v>
      </c>
      <c r="C92" s="24">
        <v>15569</v>
      </c>
      <c r="D92" s="6">
        <f>ROUND(B92-C92,0)</f>
        <v>3419043</v>
      </c>
      <c r="E92" s="8">
        <f>D92*5.45</f>
        <v>18633784</v>
      </c>
      <c r="F92" s="19">
        <v>42590</v>
      </c>
      <c r="G92" s="86"/>
      <c r="H92" s="22">
        <f>F92+60</f>
        <v>42650</v>
      </c>
      <c r="I92" s="8"/>
      <c r="J92" s="8"/>
      <c r="K92" s="20" t="s">
        <v>14</v>
      </c>
    </row>
    <row r="93" spans="1:11">
      <c r="A93" s="17">
        <v>42583</v>
      </c>
      <c r="B93" s="24"/>
      <c r="C93" s="24"/>
      <c r="D93" s="6"/>
      <c r="E93" s="8"/>
      <c r="F93" s="19"/>
      <c r="G93" s="86"/>
      <c r="H93" s="22"/>
      <c r="I93" s="8"/>
      <c r="J93" s="8"/>
      <c r="K93" s="20" t="s">
        <v>59</v>
      </c>
    </row>
    <row r="94" spans="1:11">
      <c r="A94" s="2" t="s">
        <v>10</v>
      </c>
      <c r="B94" s="3">
        <f>SUM(B76:B93)</f>
        <v>46741490</v>
      </c>
      <c r="C94" s="3">
        <f>SUM(C76:C93)</f>
        <v>230409</v>
      </c>
      <c r="D94" s="3">
        <f>SUM(D76:D93)</f>
        <v>46511081</v>
      </c>
      <c r="E94" s="3">
        <f>SUM(E76:E93)</f>
        <v>253485392</v>
      </c>
      <c r="F94" s="3"/>
      <c r="G94" s="13"/>
      <c r="H94" s="3"/>
      <c r="I94" s="3">
        <f>SUM(I76:I93)</f>
        <v>212226550</v>
      </c>
      <c r="J94" s="3">
        <f>SUM(J76:J93)</f>
        <v>3042238</v>
      </c>
      <c r="K94" s="3"/>
    </row>
    <row r="95" spans="1:11">
      <c r="H95" s="25"/>
      <c r="I95" s="26"/>
      <c r="K95" s="27"/>
    </row>
    <row r="96" spans="1:11">
      <c r="A96" s="1" t="s">
        <v>19</v>
      </c>
      <c r="I96" t="s">
        <v>60</v>
      </c>
      <c r="K96" s="85">
        <v>42142</v>
      </c>
    </row>
    <row r="98" spans="1:13" ht="43.2">
      <c r="A98" s="2"/>
      <c r="B98" s="3" t="s">
        <v>1</v>
      </c>
      <c r="C98" s="3" t="s">
        <v>2</v>
      </c>
      <c r="D98" s="3" t="s">
        <v>3</v>
      </c>
      <c r="E98" s="3" t="s">
        <v>4</v>
      </c>
      <c r="F98" s="3" t="s">
        <v>5</v>
      </c>
      <c r="G98" s="13" t="s">
        <v>55</v>
      </c>
      <c r="H98" s="3" t="s">
        <v>6</v>
      </c>
      <c r="I98" s="3" t="s">
        <v>7</v>
      </c>
      <c r="J98" s="3" t="s">
        <v>8</v>
      </c>
      <c r="K98" s="3" t="s">
        <v>9</v>
      </c>
    </row>
    <row r="99" spans="1:13">
      <c r="A99" s="17">
        <v>42125</v>
      </c>
      <c r="B99" s="18">
        <v>472297</v>
      </c>
      <c r="C99" s="18">
        <v>17085</v>
      </c>
      <c r="D99" s="6">
        <f t="shared" ref="D99:D111" si="12">B99-C99</f>
        <v>455212</v>
      </c>
      <c r="E99" s="8">
        <f t="shared" ref="E99:E111" si="13">D99*5.45</f>
        <v>2480905</v>
      </c>
      <c r="F99" s="19">
        <v>42199</v>
      </c>
      <c r="G99" s="86"/>
      <c r="H99" s="19">
        <v>42261</v>
      </c>
      <c r="I99" s="8">
        <v>0</v>
      </c>
      <c r="J99" s="8">
        <f t="shared" ref="J99:J113" si="14">E99-I99</f>
        <v>2480905</v>
      </c>
      <c r="K99" s="16" t="s">
        <v>13</v>
      </c>
      <c r="L99" s="84" t="e">
        <f>K99-F99</f>
        <v>#VALUE!</v>
      </c>
    </row>
    <row r="100" spans="1:13">
      <c r="A100" s="17">
        <v>42156</v>
      </c>
      <c r="B100" s="18">
        <v>2455739</v>
      </c>
      <c r="C100" s="18">
        <v>14162</v>
      </c>
      <c r="D100" s="6">
        <f t="shared" si="12"/>
        <v>2441577</v>
      </c>
      <c r="E100" s="8">
        <f t="shared" si="13"/>
        <v>13306595</v>
      </c>
      <c r="F100" s="19">
        <v>42199</v>
      </c>
      <c r="G100" s="86"/>
      <c r="H100" s="19">
        <v>42261</v>
      </c>
      <c r="I100" s="8">
        <v>13275005</v>
      </c>
      <c r="J100" s="8">
        <f t="shared" si="14"/>
        <v>31590</v>
      </c>
      <c r="K100" s="9">
        <v>42263</v>
      </c>
      <c r="L100" s="84">
        <f t="shared" ref="L100:L114" si="15">K100-F100</f>
        <v>64</v>
      </c>
      <c r="M100">
        <f>K100-F100</f>
        <v>64</v>
      </c>
    </row>
    <row r="101" spans="1:13">
      <c r="A101" s="17">
        <v>42186</v>
      </c>
      <c r="B101" s="24">
        <v>2720360</v>
      </c>
      <c r="C101" s="18">
        <v>15215</v>
      </c>
      <c r="D101" s="6">
        <f t="shared" si="12"/>
        <v>2705145</v>
      </c>
      <c r="E101" s="8">
        <f t="shared" si="13"/>
        <v>14743040</v>
      </c>
      <c r="F101" s="19">
        <v>42223</v>
      </c>
      <c r="G101" s="86"/>
      <c r="H101" s="22">
        <v>42284</v>
      </c>
      <c r="I101" s="23">
        <f>10000000+4743036</f>
        <v>14743036</v>
      </c>
      <c r="J101" s="8">
        <f t="shared" si="14"/>
        <v>4</v>
      </c>
      <c r="K101" s="9">
        <v>42284</v>
      </c>
      <c r="L101" s="84">
        <f t="shared" si="15"/>
        <v>61</v>
      </c>
      <c r="M101">
        <f t="shared" ref="M101:M113" si="16">K101-F101</f>
        <v>61</v>
      </c>
    </row>
    <row r="102" spans="1:13">
      <c r="A102" s="17">
        <v>42217</v>
      </c>
      <c r="B102" s="24">
        <v>3367841</v>
      </c>
      <c r="C102" s="18">
        <v>16137</v>
      </c>
      <c r="D102" s="6">
        <f t="shared" si="12"/>
        <v>3351704</v>
      </c>
      <c r="E102" s="8">
        <f t="shared" si="13"/>
        <v>18266787</v>
      </c>
      <c r="F102" s="19">
        <v>42254</v>
      </c>
      <c r="G102" s="86"/>
      <c r="H102" s="22">
        <v>42315</v>
      </c>
      <c r="I102" s="23">
        <f>17713846+551824</f>
        <v>18265670</v>
      </c>
      <c r="J102" s="8">
        <f t="shared" si="14"/>
        <v>1117</v>
      </c>
      <c r="K102" s="9">
        <v>42317</v>
      </c>
      <c r="L102" s="84">
        <f t="shared" si="15"/>
        <v>63</v>
      </c>
      <c r="M102">
        <f t="shared" si="16"/>
        <v>63</v>
      </c>
    </row>
    <row r="103" spans="1:13">
      <c r="A103" s="17">
        <v>42248</v>
      </c>
      <c r="B103" s="30">
        <v>3221839</v>
      </c>
      <c r="C103" s="35">
        <v>37372.559999999998</v>
      </c>
      <c r="D103" s="33">
        <f t="shared" si="12"/>
        <v>3184466</v>
      </c>
      <c r="E103" s="34">
        <f t="shared" si="13"/>
        <v>17355340</v>
      </c>
      <c r="F103" s="19">
        <v>42284</v>
      </c>
      <c r="G103" s="86"/>
      <c r="H103" s="22">
        <v>42345</v>
      </c>
      <c r="I103" s="23">
        <v>16565902</v>
      </c>
      <c r="J103" s="8">
        <f t="shared" si="14"/>
        <v>789438</v>
      </c>
      <c r="K103" s="9">
        <v>42374</v>
      </c>
      <c r="L103" s="84">
        <f t="shared" si="15"/>
        <v>90</v>
      </c>
      <c r="M103">
        <f t="shared" si="16"/>
        <v>90</v>
      </c>
    </row>
    <row r="104" spans="1:13">
      <c r="A104" s="17"/>
      <c r="B104" s="30"/>
      <c r="C104" s="35"/>
      <c r="D104" s="33"/>
      <c r="E104" s="34"/>
      <c r="F104" s="19"/>
      <c r="G104" s="86"/>
      <c r="H104" s="22"/>
      <c r="I104" s="23">
        <v>268536</v>
      </c>
      <c r="J104" s="8">
        <f t="shared" si="14"/>
        <v>-268536</v>
      </c>
      <c r="K104" s="9">
        <v>42445</v>
      </c>
      <c r="L104" s="84">
        <f t="shared" si="15"/>
        <v>42445</v>
      </c>
    </row>
    <row r="105" spans="1:13">
      <c r="A105" s="17">
        <v>42278</v>
      </c>
      <c r="B105" s="24">
        <v>3688129</v>
      </c>
      <c r="C105" s="24">
        <v>16473</v>
      </c>
      <c r="D105" s="33">
        <f t="shared" si="12"/>
        <v>3671656</v>
      </c>
      <c r="E105" s="34">
        <f t="shared" si="13"/>
        <v>20010525</v>
      </c>
      <c r="F105" s="19">
        <v>42313</v>
      </c>
      <c r="G105" s="86"/>
      <c r="H105" s="22">
        <v>42374</v>
      </c>
      <c r="I105" s="23">
        <v>17567332</v>
      </c>
      <c r="J105" s="8">
        <f t="shared" si="14"/>
        <v>2443193</v>
      </c>
      <c r="K105" s="9">
        <v>42380</v>
      </c>
      <c r="L105" s="84">
        <f t="shared" si="15"/>
        <v>67</v>
      </c>
      <c r="M105">
        <f t="shared" si="16"/>
        <v>67</v>
      </c>
    </row>
    <row r="106" spans="1:13">
      <c r="A106" s="17"/>
      <c r="B106" s="24"/>
      <c r="C106" s="24"/>
      <c r="D106" s="33"/>
      <c r="E106" s="34"/>
      <c r="F106" s="19"/>
      <c r="G106" s="86"/>
      <c r="H106" s="22"/>
      <c r="I106" s="29">
        <v>2443189</v>
      </c>
      <c r="J106" s="8">
        <f t="shared" si="14"/>
        <v>-2443189</v>
      </c>
      <c r="K106" s="9">
        <v>42472</v>
      </c>
      <c r="L106" s="84">
        <f t="shared" si="15"/>
        <v>42472</v>
      </c>
    </row>
    <row r="107" spans="1:13">
      <c r="A107" s="17">
        <v>42309</v>
      </c>
      <c r="B107" s="24">
        <v>2711314</v>
      </c>
      <c r="C107" s="24">
        <v>16927</v>
      </c>
      <c r="D107" s="6">
        <f t="shared" si="12"/>
        <v>2694387</v>
      </c>
      <c r="E107" s="8">
        <f t="shared" si="13"/>
        <v>14684409</v>
      </c>
      <c r="F107" s="19">
        <v>42342</v>
      </c>
      <c r="G107" s="86"/>
      <c r="H107" s="22">
        <v>42404</v>
      </c>
      <c r="I107" s="23">
        <v>14684407</v>
      </c>
      <c r="J107" s="8">
        <f t="shared" si="14"/>
        <v>2</v>
      </c>
      <c r="K107" s="9">
        <v>42404</v>
      </c>
      <c r="L107" s="84">
        <f t="shared" si="15"/>
        <v>62</v>
      </c>
      <c r="M107">
        <f t="shared" si="16"/>
        <v>62</v>
      </c>
    </row>
    <row r="108" spans="1:13">
      <c r="A108" s="17">
        <v>42339</v>
      </c>
      <c r="B108" s="24">
        <v>3000021</v>
      </c>
      <c r="C108" s="24">
        <v>18293</v>
      </c>
      <c r="D108" s="6">
        <f t="shared" si="12"/>
        <v>2981728</v>
      </c>
      <c r="E108" s="8">
        <f t="shared" si="13"/>
        <v>16250418</v>
      </c>
      <c r="F108" s="19">
        <v>42374</v>
      </c>
      <c r="G108" s="86"/>
      <c r="H108" s="22">
        <v>42434</v>
      </c>
      <c r="I108" s="23">
        <v>16181197</v>
      </c>
      <c r="J108" s="8">
        <f t="shared" si="14"/>
        <v>69221</v>
      </c>
      <c r="K108" s="9">
        <v>42437</v>
      </c>
      <c r="L108" s="84">
        <f t="shared" si="15"/>
        <v>63</v>
      </c>
      <c r="M108">
        <f t="shared" si="16"/>
        <v>63</v>
      </c>
    </row>
    <row r="109" spans="1:13">
      <c r="A109" s="17">
        <v>42370</v>
      </c>
      <c r="B109" s="24">
        <v>3029763</v>
      </c>
      <c r="C109" s="24">
        <v>18096</v>
      </c>
      <c r="D109" s="6">
        <f t="shared" si="12"/>
        <v>3011667</v>
      </c>
      <c r="E109" s="8">
        <f t="shared" si="13"/>
        <v>16413585</v>
      </c>
      <c r="F109" s="19">
        <v>42405</v>
      </c>
      <c r="G109" s="86"/>
      <c r="H109" s="22">
        <v>42464</v>
      </c>
      <c r="I109" s="23">
        <v>16382267</v>
      </c>
      <c r="J109" s="8">
        <f t="shared" si="14"/>
        <v>31318</v>
      </c>
      <c r="K109" s="9">
        <v>42465</v>
      </c>
      <c r="L109" s="84">
        <f t="shared" si="15"/>
        <v>60</v>
      </c>
      <c r="M109">
        <f t="shared" si="16"/>
        <v>60</v>
      </c>
    </row>
    <row r="110" spans="1:13">
      <c r="A110" s="17">
        <v>42401</v>
      </c>
      <c r="B110" s="24">
        <v>3333667</v>
      </c>
      <c r="C110" s="24">
        <v>15389</v>
      </c>
      <c r="D110" s="6">
        <f t="shared" si="12"/>
        <v>3318278</v>
      </c>
      <c r="E110" s="8">
        <f t="shared" si="13"/>
        <v>18084615</v>
      </c>
      <c r="F110" s="19">
        <v>42433</v>
      </c>
      <c r="G110" s="86"/>
      <c r="H110" s="22">
        <v>42494</v>
      </c>
      <c r="I110" s="23">
        <v>18084612</v>
      </c>
      <c r="J110" s="8">
        <f t="shared" si="14"/>
        <v>3</v>
      </c>
      <c r="K110" s="9">
        <v>42495</v>
      </c>
      <c r="L110" s="84">
        <f t="shared" si="15"/>
        <v>62</v>
      </c>
      <c r="M110">
        <f t="shared" si="16"/>
        <v>62</v>
      </c>
    </row>
    <row r="111" spans="1:13">
      <c r="A111" s="17">
        <v>42430</v>
      </c>
      <c r="B111" s="24">
        <v>3636059</v>
      </c>
      <c r="C111" s="24">
        <v>15807</v>
      </c>
      <c r="D111" s="6">
        <f t="shared" si="12"/>
        <v>3620252</v>
      </c>
      <c r="E111" s="8">
        <f t="shared" si="13"/>
        <v>19730373</v>
      </c>
      <c r="F111" s="19">
        <v>42464</v>
      </c>
      <c r="G111" s="86"/>
      <c r="H111" s="22">
        <f>F111+60</f>
        <v>42524</v>
      </c>
      <c r="I111" s="23">
        <f>E111</f>
        <v>19730373</v>
      </c>
      <c r="J111" s="8">
        <f t="shared" si="14"/>
        <v>0</v>
      </c>
      <c r="K111" s="9">
        <v>42528</v>
      </c>
      <c r="L111" s="84">
        <f t="shared" si="15"/>
        <v>64</v>
      </c>
      <c r="M111">
        <f t="shared" si="16"/>
        <v>64</v>
      </c>
    </row>
    <row r="112" spans="1:13">
      <c r="A112" s="17">
        <v>42461</v>
      </c>
      <c r="B112" s="24">
        <v>3731168</v>
      </c>
      <c r="C112" s="24">
        <v>14715</v>
      </c>
      <c r="D112" s="6">
        <f>ROUND(B112-C112,0)</f>
        <v>3716453</v>
      </c>
      <c r="E112" s="8">
        <f>D112*5.45</f>
        <v>20254669</v>
      </c>
      <c r="F112" s="19">
        <v>42494</v>
      </c>
      <c r="G112" s="86"/>
      <c r="H112" s="22">
        <f>F112+60</f>
        <v>42554</v>
      </c>
      <c r="I112" s="6">
        <f>E112</f>
        <v>20254669</v>
      </c>
      <c r="J112" s="29">
        <f t="shared" si="14"/>
        <v>0</v>
      </c>
      <c r="K112" s="9">
        <v>42556</v>
      </c>
      <c r="L112" s="84">
        <f t="shared" si="15"/>
        <v>62</v>
      </c>
      <c r="M112">
        <f t="shared" si="16"/>
        <v>62</v>
      </c>
    </row>
    <row r="113" spans="1:13">
      <c r="A113" s="17">
        <v>42491</v>
      </c>
      <c r="B113" s="24">
        <v>3665803</v>
      </c>
      <c r="C113" s="24">
        <v>13864</v>
      </c>
      <c r="D113" s="6">
        <f>ROUND(B113-C113,0)</f>
        <v>3651939</v>
      </c>
      <c r="E113" s="8">
        <f>D113*5.45</f>
        <v>19903068</v>
      </c>
      <c r="F113" s="19">
        <v>42527</v>
      </c>
      <c r="G113" s="86"/>
      <c r="H113" s="22">
        <f>F113+60</f>
        <v>42587</v>
      </c>
      <c r="I113" s="29">
        <v>19903068</v>
      </c>
      <c r="J113" s="29">
        <f t="shared" si="14"/>
        <v>0</v>
      </c>
      <c r="K113" s="9">
        <v>42588</v>
      </c>
      <c r="L113" s="84">
        <f t="shared" si="15"/>
        <v>61</v>
      </c>
      <c r="M113">
        <f t="shared" si="16"/>
        <v>61</v>
      </c>
    </row>
    <row r="114" spans="1:13">
      <c r="A114" s="17">
        <v>42522</v>
      </c>
      <c r="B114" s="24">
        <v>3602587</v>
      </c>
      <c r="C114" s="24">
        <v>13638</v>
      </c>
      <c r="D114" s="6">
        <f>ROUND(B114-C114,0)</f>
        <v>3588949</v>
      </c>
      <c r="E114" s="8">
        <f>D114*5.45</f>
        <v>19559772</v>
      </c>
      <c r="F114" s="19">
        <v>42557</v>
      </c>
      <c r="G114" s="86"/>
      <c r="H114" s="22">
        <f>F114+60</f>
        <v>42617</v>
      </c>
      <c r="I114" s="29">
        <v>0</v>
      </c>
      <c r="J114" s="29"/>
      <c r="K114" s="20" t="s">
        <v>13</v>
      </c>
      <c r="L114" s="84" t="e">
        <f t="shared" si="15"/>
        <v>#VALUE!</v>
      </c>
    </row>
    <row r="115" spans="1:13">
      <c r="A115" s="17">
        <v>42552</v>
      </c>
      <c r="B115" s="24">
        <v>3521743</v>
      </c>
      <c r="C115" s="24">
        <v>15561</v>
      </c>
      <c r="D115" s="6">
        <f>ROUND(B115-C115,0)</f>
        <v>3506182</v>
      </c>
      <c r="E115" s="8">
        <f>D115*5.45</f>
        <v>19108692</v>
      </c>
      <c r="F115" s="19">
        <v>42590</v>
      </c>
      <c r="G115" s="86"/>
      <c r="H115" s="22">
        <f>F115+60</f>
        <v>42650</v>
      </c>
      <c r="I115" s="29">
        <v>0</v>
      </c>
      <c r="J115" s="29"/>
      <c r="K115" s="20" t="s">
        <v>14</v>
      </c>
    </row>
    <row r="116" spans="1:13">
      <c r="A116" s="17">
        <v>42583</v>
      </c>
      <c r="B116" s="24"/>
      <c r="C116" s="24"/>
      <c r="D116" s="6"/>
      <c r="E116" s="8"/>
      <c r="F116" s="19"/>
      <c r="G116" s="86"/>
      <c r="H116" s="22"/>
      <c r="I116" s="29"/>
      <c r="J116" s="29"/>
      <c r="K116" s="20" t="s">
        <v>59</v>
      </c>
    </row>
    <row r="117" spans="1:13">
      <c r="A117" s="2" t="s">
        <v>10</v>
      </c>
      <c r="B117" s="3">
        <f>SUM(B99:B116)</f>
        <v>46158330</v>
      </c>
      <c r="C117" s="3">
        <f>SUM(C99:C116)</f>
        <v>258735</v>
      </c>
      <c r="D117" s="3">
        <f>SUM(D99:D116)</f>
        <v>45899595</v>
      </c>
      <c r="E117" s="3">
        <f>SUM(E99:E116)</f>
        <v>250152793</v>
      </c>
      <c r="F117" s="3"/>
      <c r="G117" s="13"/>
      <c r="H117" s="3"/>
      <c r="I117" s="3">
        <f>SUM(I99:I116)</f>
        <v>208349263</v>
      </c>
      <c r="J117" s="3">
        <f>SUM(J99:J116)</f>
        <v>3135066</v>
      </c>
      <c r="K117" s="3"/>
    </row>
    <row r="120" spans="1:13">
      <c r="E120" s="36"/>
    </row>
  </sheetData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B050"/>
  </sheetPr>
  <dimension ref="B1:G13"/>
  <sheetViews>
    <sheetView zoomScaleNormal="100" workbookViewId="0">
      <selection activeCell="E13" sqref="E13"/>
    </sheetView>
  </sheetViews>
  <sheetFormatPr defaultRowHeight="14.4"/>
  <cols>
    <col min="1" max="1" width="3.44140625" customWidth="1"/>
    <col min="2" max="2" width="15.88671875" bestFit="1" customWidth="1"/>
    <col min="3" max="4" width="13.44140625" customWidth="1"/>
    <col min="5" max="7" width="16.44140625" customWidth="1"/>
  </cols>
  <sheetData>
    <row r="1" spans="2:7" ht="15" thickBot="1"/>
    <row r="2" spans="2:7" ht="18.75" customHeight="1">
      <c r="B2" s="327" t="s">
        <v>83</v>
      </c>
      <c r="C2" s="328"/>
      <c r="D2" s="328"/>
      <c r="E2" s="328"/>
      <c r="F2" s="328"/>
      <c r="G2" s="329"/>
    </row>
    <row r="3" spans="2:7" ht="15" thickBot="1">
      <c r="B3" s="330"/>
      <c r="C3" s="331"/>
      <c r="D3" s="331"/>
      <c r="E3" s="331"/>
      <c r="F3" s="331"/>
      <c r="G3" s="332"/>
    </row>
    <row r="4" spans="2:7" ht="37.5" customHeight="1" thickBot="1">
      <c r="B4" s="179" t="s">
        <v>52</v>
      </c>
      <c r="C4" s="136" t="s">
        <v>89</v>
      </c>
      <c r="D4" s="136" t="s">
        <v>90</v>
      </c>
      <c r="E4" s="108" t="s">
        <v>119</v>
      </c>
      <c r="F4" s="108" t="s">
        <v>121</v>
      </c>
      <c r="G4" s="181" t="s">
        <v>122</v>
      </c>
    </row>
    <row r="5" spans="2:7">
      <c r="B5" s="109">
        <f>Punjab!B5</f>
        <v>44197</v>
      </c>
      <c r="C5" s="220">
        <v>4034797.57</v>
      </c>
      <c r="D5" s="220">
        <v>27360</v>
      </c>
      <c r="E5" s="224">
        <f>C5-D5</f>
        <v>4007437.57</v>
      </c>
      <c r="F5" s="224">
        <v>4034797.57</v>
      </c>
      <c r="G5" s="294">
        <v>27360</v>
      </c>
    </row>
    <row r="6" spans="2:7">
      <c r="B6" s="253">
        <f>Punjab!B6</f>
        <v>44228</v>
      </c>
      <c r="C6" s="223">
        <v>4194500.6100000003</v>
      </c>
      <c r="D6" s="223">
        <v>23220</v>
      </c>
      <c r="E6" s="224">
        <f t="shared" ref="E6:E11" si="0">C6-D6</f>
        <v>4171280.61</v>
      </c>
      <c r="F6" s="224">
        <v>4194500.6100000003</v>
      </c>
      <c r="G6" s="294">
        <v>23220</v>
      </c>
    </row>
    <row r="7" spans="2:7">
      <c r="B7" s="253">
        <f>Punjab!B7</f>
        <v>44256</v>
      </c>
      <c r="C7" s="223">
        <v>4472999</v>
      </c>
      <c r="D7" s="223">
        <v>22860</v>
      </c>
      <c r="E7" s="224">
        <f t="shared" si="0"/>
        <v>4450139</v>
      </c>
      <c r="F7" s="224">
        <v>4472999</v>
      </c>
      <c r="G7" s="294">
        <v>22860</v>
      </c>
    </row>
    <row r="8" spans="2:7">
      <c r="B8" s="253">
        <f>Punjab!B8</f>
        <v>44287</v>
      </c>
      <c r="C8" s="223">
        <v>4326600.7</v>
      </c>
      <c r="D8" s="223">
        <v>20520</v>
      </c>
      <c r="E8" s="224">
        <f t="shared" si="0"/>
        <v>4306080.7</v>
      </c>
      <c r="F8" s="224">
        <v>4326600.7</v>
      </c>
      <c r="G8" s="294">
        <v>20520</v>
      </c>
    </row>
    <row r="9" spans="2:7">
      <c r="B9" s="253">
        <f>Punjab!B9</f>
        <v>44317</v>
      </c>
      <c r="C9" s="223">
        <v>4347899.9000000004</v>
      </c>
      <c r="D9" s="223">
        <v>19800</v>
      </c>
      <c r="E9" s="224">
        <f t="shared" si="0"/>
        <v>4328099.9000000004</v>
      </c>
      <c r="F9" s="224">
        <v>4347899.9000000004</v>
      </c>
      <c r="G9" s="294">
        <v>19800</v>
      </c>
    </row>
    <row r="10" spans="2:7">
      <c r="B10" s="253">
        <f>Punjab!B10</f>
        <v>44348</v>
      </c>
      <c r="C10" s="223">
        <v>3433201.67</v>
      </c>
      <c r="D10" s="226">
        <v>18720</v>
      </c>
      <c r="E10" s="224">
        <f t="shared" si="0"/>
        <v>3414481.67</v>
      </c>
      <c r="F10" s="224">
        <v>3433201.67</v>
      </c>
      <c r="G10" s="294">
        <v>18720</v>
      </c>
    </row>
    <row r="11" spans="2:7">
      <c r="B11" s="253">
        <f>Punjab!B11</f>
        <v>44378</v>
      </c>
      <c r="C11" s="223">
        <v>3242598.3999999999</v>
      </c>
      <c r="D11" s="226">
        <v>23220</v>
      </c>
      <c r="E11" s="224">
        <f t="shared" si="0"/>
        <v>3219378.4</v>
      </c>
      <c r="F11" s="224">
        <v>3242598.3999999999</v>
      </c>
      <c r="G11" s="294">
        <v>23220</v>
      </c>
    </row>
    <row r="12" spans="2:7" ht="15" thickBot="1">
      <c r="B12" s="253">
        <f>Punjab!B12</f>
        <v>44409</v>
      </c>
      <c r="C12" s="223">
        <v>3670900.73</v>
      </c>
      <c r="D12" s="226">
        <v>23040</v>
      </c>
      <c r="E12" s="224">
        <f>C12-D12</f>
        <v>3647860.73</v>
      </c>
      <c r="F12" s="224">
        <v>3670900.73</v>
      </c>
      <c r="G12" s="294">
        <v>23040</v>
      </c>
    </row>
    <row r="13" spans="2:7" ht="15" thickBot="1">
      <c r="B13" s="105" t="s">
        <v>10</v>
      </c>
      <c r="C13" s="196">
        <f>SUM(C5:C12)</f>
        <v>31723498.579999998</v>
      </c>
      <c r="D13" s="196"/>
      <c r="E13" s="196">
        <f>SUM(E5:E12)</f>
        <v>31544758.579999998</v>
      </c>
      <c r="F13" s="196"/>
      <c r="G13" s="197"/>
    </row>
  </sheetData>
  <mergeCells count="1">
    <mergeCell ref="B2:G3"/>
  </mergeCells>
  <phoneticPr fontId="1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2:J31"/>
  <sheetViews>
    <sheetView topLeftCell="A3" workbookViewId="0">
      <selection activeCell="A30" sqref="A30"/>
    </sheetView>
  </sheetViews>
  <sheetFormatPr defaultRowHeight="14.4"/>
  <cols>
    <col min="1" max="1" width="15.5546875" style="54" bestFit="1" customWidth="1"/>
    <col min="2" max="2" width="9" style="54" customWidth="1"/>
    <col min="3" max="3" width="17.6640625" bestFit="1" customWidth="1"/>
    <col min="4" max="4" width="10.5546875" bestFit="1" customWidth="1"/>
    <col min="5" max="5" width="8" bestFit="1" customWidth="1"/>
    <col min="6" max="6" width="10.5546875" bestFit="1" customWidth="1"/>
    <col min="7" max="7" width="11.5546875" bestFit="1" customWidth="1"/>
    <col min="8" max="8" width="8.88671875" bestFit="1" customWidth="1"/>
    <col min="9" max="9" width="9.88671875" bestFit="1" customWidth="1"/>
    <col min="10" max="10" width="10.88671875" bestFit="1" customWidth="1"/>
  </cols>
  <sheetData>
    <row r="2" spans="1:10" ht="15" thickBot="1">
      <c r="A2" s="44"/>
      <c r="B2" s="44"/>
    </row>
    <row r="3" spans="1:10" s="43" customFormat="1" ht="28.8">
      <c r="A3" s="55" t="s">
        <v>54</v>
      </c>
      <c r="B3" s="56" t="s">
        <v>52</v>
      </c>
      <c r="C3" s="56" t="s">
        <v>53</v>
      </c>
      <c r="D3" s="56" t="s">
        <v>1</v>
      </c>
      <c r="E3" s="56" t="s">
        <v>2</v>
      </c>
      <c r="F3" s="56" t="s">
        <v>3</v>
      </c>
      <c r="G3" s="56" t="s">
        <v>4</v>
      </c>
      <c r="H3" s="56" t="s">
        <v>5</v>
      </c>
      <c r="I3" s="56" t="s">
        <v>6</v>
      </c>
      <c r="J3" s="57"/>
    </row>
    <row r="4" spans="1:10" s="46" customFormat="1">
      <c r="A4" s="58" t="s">
        <v>0</v>
      </c>
      <c r="B4" s="49"/>
      <c r="C4" s="49"/>
      <c r="D4" s="45"/>
      <c r="E4" s="45"/>
      <c r="F4" s="45"/>
      <c r="G4" s="45"/>
      <c r="H4" s="45"/>
      <c r="I4" s="45"/>
      <c r="J4" s="59"/>
    </row>
    <row r="5" spans="1:10">
      <c r="A5" s="60"/>
      <c r="B5" s="53">
        <v>42522</v>
      </c>
      <c r="C5" s="47"/>
      <c r="D5" s="4">
        <v>2110001</v>
      </c>
      <c r="E5" s="5">
        <v>20315</v>
      </c>
      <c r="F5" s="11">
        <f>D5-E5</f>
        <v>2089686</v>
      </c>
      <c r="G5" s="11">
        <f>F5*15</f>
        <v>31345290</v>
      </c>
      <c r="H5" s="12">
        <v>42559</v>
      </c>
      <c r="I5" s="12">
        <f>H5+30</f>
        <v>42589</v>
      </c>
      <c r="J5" s="61"/>
    </row>
    <row r="6" spans="1:10">
      <c r="A6" s="58" t="s">
        <v>11</v>
      </c>
      <c r="B6" s="53"/>
      <c r="C6" s="49"/>
      <c r="D6" s="2"/>
      <c r="E6" s="2"/>
      <c r="F6" s="2"/>
      <c r="G6" s="2"/>
      <c r="H6" s="2"/>
      <c r="I6" s="2"/>
      <c r="J6" s="61"/>
    </row>
    <row r="7" spans="1:10">
      <c r="A7" s="60"/>
      <c r="B7" s="53">
        <v>42522</v>
      </c>
      <c r="C7" s="2"/>
      <c r="D7" s="14">
        <v>4026100</v>
      </c>
      <c r="E7" s="14">
        <v>30100</v>
      </c>
      <c r="F7" s="11">
        <f>D7-E7</f>
        <v>3996000</v>
      </c>
      <c r="G7" s="11">
        <f>D7*8.05</f>
        <v>32410105</v>
      </c>
      <c r="H7" s="12">
        <v>42553</v>
      </c>
      <c r="I7" s="12">
        <f>H7+30</f>
        <v>42583</v>
      </c>
      <c r="J7" s="61"/>
    </row>
    <row r="8" spans="1:10">
      <c r="A8" s="58" t="s">
        <v>43</v>
      </c>
      <c r="B8" s="53"/>
      <c r="C8" s="2"/>
      <c r="D8" s="2"/>
      <c r="E8" s="2"/>
      <c r="F8" s="2"/>
      <c r="G8" s="2"/>
      <c r="H8" s="2"/>
      <c r="I8" s="2"/>
      <c r="J8" s="61"/>
    </row>
    <row r="9" spans="1:10">
      <c r="A9" s="62"/>
      <c r="B9" s="53">
        <v>42522</v>
      </c>
      <c r="C9" s="2" t="s">
        <v>35</v>
      </c>
      <c r="D9" s="24">
        <v>3710354</v>
      </c>
      <c r="E9" s="24">
        <v>13100</v>
      </c>
      <c r="F9" s="6">
        <f>ROUND(D9-E9,0)</f>
        <v>3697254</v>
      </c>
      <c r="G9" s="8">
        <f>F9*5.45</f>
        <v>20150034</v>
      </c>
      <c r="H9" s="19">
        <v>42557</v>
      </c>
      <c r="I9" s="22">
        <f>H9+60</f>
        <v>42617</v>
      </c>
      <c r="J9" s="61"/>
    </row>
    <row r="10" spans="1:10">
      <c r="A10" s="62"/>
      <c r="B10" s="53">
        <v>42522</v>
      </c>
      <c r="C10" s="2" t="s">
        <v>36</v>
      </c>
      <c r="D10" s="24">
        <v>3671572</v>
      </c>
      <c r="E10" s="24">
        <v>13667</v>
      </c>
      <c r="F10" s="6">
        <f>ROUND(D10-E10,0)</f>
        <v>3657905</v>
      </c>
      <c r="G10" s="8">
        <f>F10*5.45</f>
        <v>19935582</v>
      </c>
      <c r="H10" s="19">
        <v>42557</v>
      </c>
      <c r="I10" s="22">
        <f>H10+60</f>
        <v>42617</v>
      </c>
      <c r="J10" s="61"/>
    </row>
    <row r="11" spans="1:10">
      <c r="A11" s="62"/>
      <c r="B11" s="53">
        <v>42522</v>
      </c>
      <c r="C11" s="2" t="s">
        <v>37</v>
      </c>
      <c r="D11" s="24">
        <v>3843964</v>
      </c>
      <c r="E11" s="24">
        <v>14482</v>
      </c>
      <c r="F11" s="6">
        <f>ROUND(D11-E11,0)</f>
        <v>3829482</v>
      </c>
      <c r="G11" s="8">
        <f>F11*5.45</f>
        <v>20870677</v>
      </c>
      <c r="H11" s="19">
        <v>42557</v>
      </c>
      <c r="I11" s="22">
        <f>H11+60</f>
        <v>42617</v>
      </c>
      <c r="J11" s="61"/>
    </row>
    <row r="12" spans="1:10">
      <c r="A12" s="62"/>
      <c r="B12" s="53">
        <v>42522</v>
      </c>
      <c r="C12" s="2" t="s">
        <v>38</v>
      </c>
      <c r="D12" s="24">
        <v>3608024</v>
      </c>
      <c r="E12" s="24">
        <v>14846</v>
      </c>
      <c r="F12" s="6">
        <f>ROUND(D12-E12,0)</f>
        <v>3593178</v>
      </c>
      <c r="G12" s="8">
        <f>F12*5.45</f>
        <v>19582820</v>
      </c>
      <c r="H12" s="19">
        <v>42557</v>
      </c>
      <c r="I12" s="22">
        <f>H12+60</f>
        <v>42617</v>
      </c>
      <c r="J12" s="61"/>
    </row>
    <row r="13" spans="1:10">
      <c r="A13" s="62"/>
      <c r="B13" s="53">
        <v>42522</v>
      </c>
      <c r="C13" s="2" t="s">
        <v>39</v>
      </c>
      <c r="D13" s="24">
        <v>3602587</v>
      </c>
      <c r="E13" s="24">
        <v>13638</v>
      </c>
      <c r="F13" s="6">
        <f>ROUND(D13-E13,0)</f>
        <v>3588949</v>
      </c>
      <c r="G13" s="8">
        <f>F13*5.45</f>
        <v>19559772</v>
      </c>
      <c r="H13" s="19">
        <v>42557</v>
      </c>
      <c r="I13" s="22">
        <f>H13+60</f>
        <v>42617</v>
      </c>
      <c r="J13" s="61"/>
    </row>
    <row r="14" spans="1:10">
      <c r="A14" s="58" t="s">
        <v>40</v>
      </c>
      <c r="B14" s="53"/>
      <c r="C14" s="2"/>
      <c r="D14" s="2"/>
      <c r="E14" s="2"/>
      <c r="F14" s="2"/>
      <c r="G14" s="2"/>
      <c r="H14" s="2"/>
      <c r="I14" s="2"/>
      <c r="J14" s="61"/>
    </row>
    <row r="15" spans="1:10">
      <c r="A15" s="62"/>
      <c r="B15" s="53">
        <v>42522</v>
      </c>
      <c r="C15" s="17"/>
      <c r="D15" s="15">
        <f>3962.62*1000</f>
        <v>3962620</v>
      </c>
      <c r="E15" s="14">
        <f>24.21*1000</f>
        <v>24210</v>
      </c>
      <c r="F15" s="11">
        <f>D15-E15</f>
        <v>3938410</v>
      </c>
      <c r="G15" s="11">
        <f>F15*7.28</f>
        <v>28671625</v>
      </c>
      <c r="H15" s="12"/>
      <c r="I15" s="12"/>
      <c r="J15" s="61" t="s">
        <v>34</v>
      </c>
    </row>
    <row r="16" spans="1:10">
      <c r="A16" s="58" t="s">
        <v>41</v>
      </c>
      <c r="B16" s="53"/>
      <c r="C16" s="2"/>
      <c r="D16" s="2"/>
      <c r="E16" s="2"/>
      <c r="F16" s="2"/>
      <c r="G16" s="2"/>
      <c r="H16" s="2"/>
      <c r="I16" s="2"/>
      <c r="J16" s="61"/>
    </row>
    <row r="17" spans="1:10">
      <c r="A17" s="62"/>
      <c r="B17" s="53">
        <v>42522</v>
      </c>
      <c r="C17" s="17"/>
      <c r="D17" s="14">
        <v>4033450</v>
      </c>
      <c r="E17" s="14">
        <v>0</v>
      </c>
      <c r="F17" s="6">
        <f>D17</f>
        <v>4033450</v>
      </c>
      <c r="G17" s="6">
        <f>F17*6.46</f>
        <v>26056087</v>
      </c>
      <c r="H17" s="28">
        <v>42555</v>
      </c>
      <c r="I17" s="7">
        <f>H17+60</f>
        <v>42615</v>
      </c>
      <c r="J17" s="61"/>
    </row>
    <row r="18" spans="1:10">
      <c r="A18" s="58" t="s">
        <v>42</v>
      </c>
      <c r="B18" s="53"/>
      <c r="C18" s="2"/>
      <c r="D18" s="2"/>
      <c r="E18" s="2"/>
      <c r="F18" s="2"/>
      <c r="G18" s="2"/>
      <c r="H18" s="2"/>
      <c r="I18" s="2"/>
      <c r="J18" s="61"/>
    </row>
    <row r="19" spans="1:10">
      <c r="A19" s="62"/>
      <c r="B19" s="53">
        <v>42522</v>
      </c>
      <c r="C19" s="50" t="s">
        <v>20</v>
      </c>
      <c r="D19" s="14">
        <v>3169100</v>
      </c>
      <c r="E19" s="14">
        <v>20500</v>
      </c>
      <c r="F19" s="6">
        <f t="shared" ref="F19:F24" si="0">D19-E19</f>
        <v>3148600</v>
      </c>
      <c r="G19" s="6">
        <f>F19*7.06</f>
        <v>22229116</v>
      </c>
      <c r="H19" s="28">
        <v>42553</v>
      </c>
      <c r="I19" s="28">
        <f>H19+60</f>
        <v>42613</v>
      </c>
      <c r="J19" s="61"/>
    </row>
    <row r="20" spans="1:10">
      <c r="A20" s="62"/>
      <c r="B20" s="53">
        <v>42522</v>
      </c>
      <c r="C20" s="50" t="s">
        <v>21</v>
      </c>
      <c r="D20" s="14">
        <v>3165100</v>
      </c>
      <c r="E20" s="14">
        <v>19900</v>
      </c>
      <c r="F20" s="6">
        <f t="shared" si="0"/>
        <v>3145200</v>
      </c>
      <c r="G20" s="6">
        <f>F20*7.06</f>
        <v>22205112</v>
      </c>
      <c r="H20" s="28">
        <v>42553</v>
      </c>
      <c r="I20" s="28">
        <f>H20+60</f>
        <v>42613</v>
      </c>
      <c r="J20" s="61"/>
    </row>
    <row r="21" spans="1:10">
      <c r="A21" s="62"/>
      <c r="B21" s="53">
        <v>42522</v>
      </c>
      <c r="C21" s="50" t="s">
        <v>22</v>
      </c>
      <c r="D21" s="14">
        <v>3178400</v>
      </c>
      <c r="E21" s="14">
        <v>13100</v>
      </c>
      <c r="F21" s="6">
        <f t="shared" si="0"/>
        <v>3165300</v>
      </c>
      <c r="G21" s="6">
        <f>F21*7.16</f>
        <v>22663548</v>
      </c>
      <c r="H21" s="28">
        <v>42553</v>
      </c>
      <c r="I21" s="28">
        <f>H21+60</f>
        <v>42613</v>
      </c>
      <c r="J21" s="61"/>
    </row>
    <row r="22" spans="1:10">
      <c r="A22" s="58" t="s">
        <v>44</v>
      </c>
      <c r="B22" s="53"/>
      <c r="C22" s="51"/>
      <c r="D22" s="42"/>
      <c r="E22" s="42"/>
      <c r="F22" s="6"/>
      <c r="G22" s="6"/>
      <c r="H22" s="28"/>
      <c r="I22" s="28"/>
      <c r="J22" s="61"/>
    </row>
    <row r="23" spans="1:10">
      <c r="A23" s="62"/>
      <c r="B23" s="53">
        <v>42522</v>
      </c>
      <c r="C23" s="51" t="s">
        <v>23</v>
      </c>
      <c r="D23" s="42">
        <v>1001700</v>
      </c>
      <c r="E23" s="42">
        <v>9000</v>
      </c>
      <c r="F23" s="6">
        <f t="shared" si="0"/>
        <v>992700</v>
      </c>
      <c r="G23" s="6">
        <f>F23*7.57</f>
        <v>7514739</v>
      </c>
      <c r="H23" s="28">
        <v>42552</v>
      </c>
      <c r="I23" s="28">
        <f>H23+60</f>
        <v>42612</v>
      </c>
      <c r="J23" s="61"/>
    </row>
    <row r="24" spans="1:10">
      <c r="A24" s="62"/>
      <c r="B24" s="53">
        <v>42522</v>
      </c>
      <c r="C24" s="50" t="s">
        <v>24</v>
      </c>
      <c r="D24" s="14">
        <v>729000</v>
      </c>
      <c r="E24" s="14">
        <v>9000</v>
      </c>
      <c r="F24" s="6">
        <f t="shared" si="0"/>
        <v>720000</v>
      </c>
      <c r="G24" s="6">
        <f>F24*7.59</f>
        <v>5464800</v>
      </c>
      <c r="H24" s="28">
        <v>42553</v>
      </c>
      <c r="I24" s="28">
        <f>H24+60</f>
        <v>42613</v>
      </c>
      <c r="J24" s="61"/>
    </row>
    <row r="25" spans="1:10">
      <c r="A25" s="63" t="s">
        <v>48</v>
      </c>
      <c r="B25" s="53"/>
      <c r="C25" s="48"/>
      <c r="D25" s="48"/>
      <c r="E25" s="48"/>
      <c r="F25" s="48"/>
      <c r="G25" s="48"/>
      <c r="H25" s="48"/>
      <c r="I25" s="48"/>
      <c r="J25" s="61"/>
    </row>
    <row r="26" spans="1:10">
      <c r="A26" s="62"/>
      <c r="B26" s="53">
        <v>42522</v>
      </c>
      <c r="C26" s="52" t="s">
        <v>45</v>
      </c>
      <c r="D26" s="24">
        <v>6236000</v>
      </c>
      <c r="E26" s="24">
        <v>33000</v>
      </c>
      <c r="F26" s="6">
        <f>ROUND(D26-E26,0)</f>
        <v>6203000</v>
      </c>
      <c r="G26" s="8">
        <f>F26*5.63</f>
        <v>34922890</v>
      </c>
      <c r="H26" s="19">
        <v>42559</v>
      </c>
      <c r="I26" s="22">
        <f t="shared" ref="I26:I31" si="1">H26+30</f>
        <v>42589</v>
      </c>
      <c r="J26" s="61"/>
    </row>
    <row r="27" spans="1:10">
      <c r="A27" s="62"/>
      <c r="B27" s="53">
        <v>42522</v>
      </c>
      <c r="C27" s="51" t="s">
        <v>46</v>
      </c>
      <c r="D27" s="42">
        <v>1146400</v>
      </c>
      <c r="E27" s="42">
        <v>6300</v>
      </c>
      <c r="F27" s="6">
        <f>D27-E27</f>
        <v>1140100</v>
      </c>
      <c r="G27" s="8">
        <f>F27*5.63</f>
        <v>6418763</v>
      </c>
      <c r="H27" s="19">
        <v>42556</v>
      </c>
      <c r="I27" s="22">
        <f t="shared" si="1"/>
        <v>42586</v>
      </c>
      <c r="J27" s="61"/>
    </row>
    <row r="28" spans="1:10">
      <c r="A28" s="62"/>
      <c r="B28" s="53">
        <v>42522</v>
      </c>
      <c r="C28" s="51" t="s">
        <v>47</v>
      </c>
      <c r="D28" s="24">
        <v>715350</v>
      </c>
      <c r="E28" s="24">
        <v>5850</v>
      </c>
      <c r="F28" s="6">
        <f>D28-E28</f>
        <v>709500</v>
      </c>
      <c r="G28" s="8">
        <f>F28*5.63</f>
        <v>3994485</v>
      </c>
      <c r="H28" s="19">
        <v>42556</v>
      </c>
      <c r="I28" s="22">
        <f t="shared" si="1"/>
        <v>42586</v>
      </c>
      <c r="J28" s="61"/>
    </row>
    <row r="29" spans="1:10">
      <c r="A29" s="62"/>
      <c r="B29" s="53">
        <v>42522</v>
      </c>
      <c r="C29" s="51" t="s">
        <v>49</v>
      </c>
      <c r="D29" s="42">
        <v>1034900</v>
      </c>
      <c r="E29" s="42">
        <v>3900</v>
      </c>
      <c r="F29" s="6">
        <f>D29-E29</f>
        <v>1031000</v>
      </c>
      <c r="G29" s="4">
        <f>F29*5.71</f>
        <v>5887010</v>
      </c>
      <c r="H29" s="19">
        <v>42556</v>
      </c>
      <c r="I29" s="22">
        <f t="shared" si="1"/>
        <v>42586</v>
      </c>
      <c r="J29" s="61"/>
    </row>
    <row r="30" spans="1:10">
      <c r="A30" s="62"/>
      <c r="B30" s="53">
        <v>42522</v>
      </c>
      <c r="C30" s="51" t="s">
        <v>50</v>
      </c>
      <c r="D30" s="42">
        <v>1079400</v>
      </c>
      <c r="E30" s="42">
        <v>4900</v>
      </c>
      <c r="F30" s="6">
        <f>D30-E30</f>
        <v>1074500</v>
      </c>
      <c r="G30" s="4">
        <f>F30*5.71</f>
        <v>6135395</v>
      </c>
      <c r="H30" s="19">
        <v>42556</v>
      </c>
      <c r="I30" s="22">
        <f t="shared" si="1"/>
        <v>42586</v>
      </c>
      <c r="J30" s="61"/>
    </row>
    <row r="31" spans="1:10" ht="15" thickBot="1">
      <c r="A31" s="64"/>
      <c r="B31" s="65">
        <v>42522</v>
      </c>
      <c r="C31" s="66" t="s">
        <v>51</v>
      </c>
      <c r="D31" s="67">
        <v>5449000</v>
      </c>
      <c r="E31" s="67">
        <v>33000</v>
      </c>
      <c r="F31" s="68">
        <f>D31-E31</f>
        <v>5416000</v>
      </c>
      <c r="G31" s="69">
        <f>F31*5.97</f>
        <v>32333520</v>
      </c>
      <c r="H31" s="70">
        <v>42557</v>
      </c>
      <c r="I31" s="71">
        <f t="shared" si="1"/>
        <v>42587</v>
      </c>
      <c r="J31" s="72"/>
    </row>
  </sheetData>
  <phoneticPr fontId="19" type="noConversion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L47"/>
  <sheetViews>
    <sheetView topLeftCell="A19" workbookViewId="0">
      <selection activeCell="C35" sqref="C35"/>
    </sheetView>
  </sheetViews>
  <sheetFormatPr defaultRowHeight="14.4"/>
  <cols>
    <col min="1" max="1" width="16" customWidth="1"/>
    <col min="2" max="2" width="10.109375" bestFit="1" customWidth="1"/>
    <col min="3" max="3" width="14.33203125" bestFit="1" customWidth="1"/>
    <col min="4" max="6" width="15.6640625" customWidth="1"/>
    <col min="7" max="7" width="10.109375" bestFit="1" customWidth="1"/>
    <col min="8" max="8" width="15" bestFit="1" customWidth="1"/>
    <col min="9" max="9" width="10.5546875" bestFit="1" customWidth="1"/>
    <col min="10" max="10" width="17.33203125" customWidth="1"/>
    <col min="11" max="11" width="12.33203125" bestFit="1" customWidth="1"/>
    <col min="12" max="12" width="13.88671875" style="78" bestFit="1" customWidth="1"/>
    <col min="13" max="13" width="10.5546875" bestFit="1" customWidth="1"/>
    <col min="14" max="15" width="14.33203125" bestFit="1" customWidth="1"/>
    <col min="16" max="16" width="12.33203125" bestFit="1" customWidth="1"/>
  </cols>
  <sheetData>
    <row r="2" spans="1:12" ht="18">
      <c r="A2" s="91" t="s">
        <v>57</v>
      </c>
      <c r="B2" s="91"/>
      <c r="F2" s="31">
        <f>F6*0.4</f>
        <v>2357414.4</v>
      </c>
    </row>
    <row r="3" spans="1:12">
      <c r="C3" s="31">
        <f>C6*0.4</f>
        <v>271200</v>
      </c>
      <c r="D3" s="31">
        <f>D6*0.4</f>
        <v>1164</v>
      </c>
    </row>
    <row r="4" spans="1:12" s="75" customFormat="1" ht="28.8">
      <c r="A4" s="73" t="s">
        <v>29</v>
      </c>
      <c r="B4" s="73" t="s">
        <v>74</v>
      </c>
      <c r="C4" s="73" t="s">
        <v>1</v>
      </c>
      <c r="D4" s="73" t="s">
        <v>2</v>
      </c>
      <c r="E4" s="73" t="s">
        <v>3</v>
      </c>
      <c r="F4" s="73" t="s">
        <v>4</v>
      </c>
      <c r="G4" s="73" t="s">
        <v>5</v>
      </c>
      <c r="H4" s="74" t="s">
        <v>55</v>
      </c>
      <c r="I4" s="73" t="s">
        <v>6</v>
      </c>
      <c r="J4" s="73" t="s">
        <v>7</v>
      </c>
      <c r="K4" s="73" t="s">
        <v>8</v>
      </c>
      <c r="L4" s="74" t="s">
        <v>9</v>
      </c>
    </row>
    <row r="5" spans="1:12" s="75" customFormat="1">
      <c r="A5" s="17">
        <v>42522</v>
      </c>
      <c r="B5" s="17" t="s">
        <v>75</v>
      </c>
      <c r="C5" s="95">
        <v>3240</v>
      </c>
      <c r="D5" s="95">
        <v>888</v>
      </c>
      <c r="E5" s="6">
        <f>C5-D5</f>
        <v>2352</v>
      </c>
      <c r="F5" s="8">
        <f>E5*8.73</f>
        <v>20533</v>
      </c>
      <c r="G5" s="19">
        <v>42620</v>
      </c>
      <c r="H5" s="19">
        <v>42622</v>
      </c>
      <c r="I5" s="93">
        <f>H5+30</f>
        <v>42652</v>
      </c>
      <c r="J5" s="8"/>
      <c r="K5" s="8"/>
      <c r="L5" s="79"/>
    </row>
    <row r="6" spans="1:12">
      <c r="A6" s="17">
        <v>42552</v>
      </c>
      <c r="B6" s="17" t="s">
        <v>75</v>
      </c>
      <c r="C6" s="24">
        <v>678000</v>
      </c>
      <c r="D6" s="24">
        <v>2910</v>
      </c>
      <c r="E6" s="6">
        <f>ROUND(C6-D6,0)</f>
        <v>675090</v>
      </c>
      <c r="F6" s="8">
        <f>E6*8.73</f>
        <v>5893536</v>
      </c>
      <c r="G6" s="19">
        <v>42584</v>
      </c>
      <c r="H6" s="19">
        <v>42584</v>
      </c>
      <c r="I6" s="93">
        <v>42612</v>
      </c>
      <c r="J6" s="333">
        <v>9087228</v>
      </c>
      <c r="K6" s="333">
        <f>F7+F6-J6</f>
        <v>581649</v>
      </c>
      <c r="L6" s="83">
        <v>42642</v>
      </c>
    </row>
    <row r="7" spans="1:12">
      <c r="A7" s="17">
        <v>42583</v>
      </c>
      <c r="B7" s="17" t="s">
        <v>75</v>
      </c>
      <c r="C7" s="24">
        <v>434052</v>
      </c>
      <c r="D7" s="24">
        <v>1596</v>
      </c>
      <c r="E7" s="6">
        <f>ROUND(C7-D7,0)</f>
        <v>432456</v>
      </c>
      <c r="F7" s="97">
        <f>E7*8.73</f>
        <v>3775341</v>
      </c>
      <c r="G7" s="19">
        <v>42618</v>
      </c>
      <c r="H7" s="19">
        <v>42621</v>
      </c>
      <c r="I7" s="93">
        <v>42643</v>
      </c>
      <c r="J7" s="334"/>
      <c r="K7" s="334"/>
      <c r="L7" s="83">
        <v>42642</v>
      </c>
    </row>
    <row r="8" spans="1:12">
      <c r="A8" s="17">
        <v>42614</v>
      </c>
      <c r="B8" s="17" t="s">
        <v>75</v>
      </c>
      <c r="C8" s="24"/>
      <c r="D8" s="24"/>
      <c r="E8" s="6">
        <f>ROUND(C8-D8,0)</f>
        <v>0</v>
      </c>
      <c r="F8" s="97">
        <f>E8*8.73</f>
        <v>0</v>
      </c>
      <c r="G8" s="19"/>
      <c r="H8" s="19"/>
      <c r="I8" s="93"/>
      <c r="J8" s="8"/>
      <c r="K8" s="8"/>
      <c r="L8" s="79"/>
    </row>
    <row r="9" spans="1:12">
      <c r="A9" s="17"/>
      <c r="B9" s="17"/>
      <c r="C9" s="95"/>
      <c r="D9" s="95"/>
      <c r="E9" s="6"/>
      <c r="F9" s="8"/>
      <c r="G9" s="19"/>
      <c r="H9" s="19"/>
      <c r="I9" s="93"/>
      <c r="J9" s="8"/>
      <c r="K9" s="8"/>
      <c r="L9" s="79"/>
    </row>
    <row r="10" spans="1:12">
      <c r="A10" s="17"/>
      <c r="B10" s="17"/>
      <c r="C10" s="95"/>
      <c r="D10" s="95"/>
      <c r="E10" s="6"/>
      <c r="F10" s="8"/>
      <c r="G10" s="19"/>
      <c r="H10" s="19"/>
      <c r="I10" s="93"/>
      <c r="J10" s="8"/>
      <c r="K10" s="8"/>
      <c r="L10" s="79"/>
    </row>
    <row r="11" spans="1:12">
      <c r="A11" s="17">
        <v>42522</v>
      </c>
      <c r="B11" s="17" t="s">
        <v>76</v>
      </c>
      <c r="C11" s="95">
        <v>4860</v>
      </c>
      <c r="D11" s="95">
        <v>1332</v>
      </c>
      <c r="E11" s="6">
        <f>C11-D11</f>
        <v>3528</v>
      </c>
      <c r="F11" s="8">
        <f>E11*8.73</f>
        <v>30799</v>
      </c>
      <c r="G11" s="19">
        <v>42620</v>
      </c>
      <c r="H11" s="19">
        <v>42622</v>
      </c>
      <c r="I11" s="93">
        <f>H11+30</f>
        <v>42652</v>
      </c>
      <c r="J11" s="8"/>
      <c r="K11" s="8"/>
      <c r="L11" s="79"/>
    </row>
    <row r="12" spans="1:12">
      <c r="A12" s="17">
        <v>42552</v>
      </c>
      <c r="B12" s="17" t="s">
        <v>76</v>
      </c>
      <c r="C12" s="95"/>
      <c r="D12" s="95"/>
      <c r="E12" s="6">
        <f>ROUND(C12-D12,0)</f>
        <v>0</v>
      </c>
      <c r="F12" s="8">
        <f>E12*8.73</f>
        <v>0</v>
      </c>
      <c r="G12" s="19">
        <v>42584</v>
      </c>
      <c r="H12" s="19"/>
      <c r="I12" s="93">
        <v>42612</v>
      </c>
      <c r="J12" s="333"/>
      <c r="K12" s="333"/>
      <c r="L12" s="83"/>
    </row>
    <row r="13" spans="1:12">
      <c r="A13" s="17">
        <v>42583</v>
      </c>
      <c r="B13" s="17" t="s">
        <v>76</v>
      </c>
      <c r="C13" s="95"/>
      <c r="D13" s="95"/>
      <c r="E13" s="6">
        <f>F13/8.73</f>
        <v>648684</v>
      </c>
      <c r="F13" s="97">
        <v>5663011</v>
      </c>
      <c r="G13" s="19">
        <v>42618</v>
      </c>
      <c r="H13" s="19">
        <v>42621</v>
      </c>
      <c r="I13" s="93">
        <v>42643</v>
      </c>
      <c r="J13" s="334"/>
      <c r="K13" s="334"/>
      <c r="L13" s="83"/>
    </row>
    <row r="14" spans="1:12">
      <c r="A14" s="17">
        <v>42614</v>
      </c>
      <c r="B14" s="17" t="s">
        <v>76</v>
      </c>
      <c r="C14" s="95"/>
      <c r="D14" s="95"/>
      <c r="E14" s="6">
        <f>ROUND(C14-D14,0)</f>
        <v>0</v>
      </c>
      <c r="F14" s="97">
        <f>E14*8.73</f>
        <v>0</v>
      </c>
      <c r="G14" s="19"/>
      <c r="H14" s="19"/>
      <c r="I14" s="93"/>
      <c r="J14" s="8"/>
      <c r="K14" s="8"/>
      <c r="L14" s="79"/>
    </row>
    <row r="15" spans="1:12">
      <c r="A15" s="17"/>
      <c r="B15" s="17"/>
      <c r="C15" s="95"/>
      <c r="D15" s="95"/>
      <c r="E15" s="6"/>
      <c r="F15" s="8"/>
      <c r="G15" s="19"/>
      <c r="H15" s="19"/>
      <c r="I15" s="93"/>
      <c r="J15" s="8"/>
      <c r="K15" s="8"/>
      <c r="L15" s="79"/>
    </row>
    <row r="16" spans="1:12">
      <c r="A16" s="2" t="s">
        <v>10</v>
      </c>
      <c r="B16" s="2"/>
      <c r="C16" s="3">
        <f>SUM(C5:C15)</f>
        <v>1120152</v>
      </c>
      <c r="D16" s="3">
        <f>SUM(D5:D15)</f>
        <v>6726</v>
      </c>
      <c r="E16" s="3">
        <f>SUM(E5:E15)</f>
        <v>1762110</v>
      </c>
      <c r="F16" s="3">
        <f>SUM(F5:F15)</f>
        <v>15383220</v>
      </c>
      <c r="G16" s="3"/>
      <c r="H16" s="3"/>
      <c r="I16" s="3"/>
      <c r="J16" s="3">
        <f>SUM(J5:J15)</f>
        <v>9087228</v>
      </c>
      <c r="K16" s="3">
        <f>SUM(K5:K15)</f>
        <v>581649</v>
      </c>
      <c r="L16" s="13"/>
    </row>
    <row r="17" spans="1:12">
      <c r="I17" s="25"/>
      <c r="J17" s="26"/>
      <c r="L17" s="80"/>
    </row>
    <row r="18" spans="1:12">
      <c r="A18" s="1" t="s">
        <v>61</v>
      </c>
      <c r="B18" s="1"/>
      <c r="C18" t="s">
        <v>65</v>
      </c>
      <c r="I18" t="s">
        <v>64</v>
      </c>
      <c r="J18" s="26"/>
      <c r="L18" s="80"/>
    </row>
    <row r="19" spans="1:12">
      <c r="A19" s="1"/>
      <c r="B19" s="1"/>
      <c r="C19" t="s">
        <v>66</v>
      </c>
      <c r="I19" t="s">
        <v>70</v>
      </c>
      <c r="J19" s="26"/>
      <c r="L19" s="80"/>
    </row>
    <row r="20" spans="1:12">
      <c r="A20" s="1" t="s">
        <v>62</v>
      </c>
      <c r="B20" s="1"/>
      <c r="C20" t="s">
        <v>68</v>
      </c>
      <c r="J20" s="26"/>
      <c r="L20" s="80"/>
    </row>
    <row r="21" spans="1:12">
      <c r="A21" s="1"/>
      <c r="B21" s="1"/>
      <c r="C21" t="s">
        <v>69</v>
      </c>
      <c r="J21" s="26"/>
      <c r="L21" s="80"/>
    </row>
    <row r="22" spans="1:12">
      <c r="A22" s="1" t="s">
        <v>63</v>
      </c>
      <c r="B22" s="1"/>
      <c r="C22" t="s">
        <v>67</v>
      </c>
      <c r="J22" s="26"/>
      <c r="L22" s="80"/>
    </row>
    <row r="23" spans="1:12">
      <c r="A23" s="1"/>
      <c r="B23" s="1"/>
      <c r="J23" s="26"/>
      <c r="L23" s="80"/>
    </row>
    <row r="24" spans="1:12" ht="18">
      <c r="A24" s="91" t="s">
        <v>58</v>
      </c>
      <c r="B24" s="91"/>
    </row>
    <row r="26" spans="1:12" ht="28.8">
      <c r="A26" s="3" t="s">
        <v>29</v>
      </c>
      <c r="B26" s="73" t="s">
        <v>74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74" t="s">
        <v>55</v>
      </c>
      <c r="I26" s="3" t="s">
        <v>6</v>
      </c>
      <c r="J26" s="3" t="s">
        <v>7</v>
      </c>
      <c r="K26" s="3" t="s">
        <v>8</v>
      </c>
      <c r="L26" s="13" t="s">
        <v>9</v>
      </c>
    </row>
    <row r="27" spans="1:12" s="41" customFormat="1">
      <c r="A27" s="17">
        <v>42522</v>
      </c>
      <c r="B27" s="17" t="s">
        <v>75</v>
      </c>
      <c r="C27" s="95">
        <v>558</v>
      </c>
      <c r="D27" s="95">
        <v>1404</v>
      </c>
      <c r="E27" s="6">
        <f>ROUND(C27-D27,0)</f>
        <v>-846</v>
      </c>
      <c r="F27" s="8">
        <f>E27*8.73</f>
        <v>-7386</v>
      </c>
      <c r="G27" s="19">
        <v>42620</v>
      </c>
      <c r="H27" s="19">
        <v>42622</v>
      </c>
      <c r="I27" s="93">
        <f>H27+30</f>
        <v>42652</v>
      </c>
      <c r="J27" s="98"/>
      <c r="K27" s="98"/>
      <c r="L27" s="99"/>
    </row>
    <row r="28" spans="1:12">
      <c r="A28" s="17">
        <v>42552</v>
      </c>
      <c r="B28" s="17" t="s">
        <v>75</v>
      </c>
      <c r="C28" s="24">
        <v>671310</v>
      </c>
      <c r="D28" s="24">
        <v>4365</v>
      </c>
      <c r="E28" s="6">
        <f>ROUND(C28-D28,0)</f>
        <v>666945</v>
      </c>
      <c r="F28" s="8">
        <f>E28*8.73</f>
        <v>5822430</v>
      </c>
      <c r="G28" s="19">
        <v>42584</v>
      </c>
      <c r="H28" s="19">
        <v>42584</v>
      </c>
      <c r="I28" s="93">
        <v>42612</v>
      </c>
      <c r="J28" s="333">
        <v>10620824</v>
      </c>
      <c r="K28" s="333">
        <f>F29+F28-J28</f>
        <v>45761</v>
      </c>
      <c r="L28" s="83">
        <v>42642</v>
      </c>
    </row>
    <row r="29" spans="1:12">
      <c r="A29" s="17">
        <v>42583</v>
      </c>
      <c r="B29" s="17" t="s">
        <v>75</v>
      </c>
      <c r="C29" s="76">
        <v>557928</v>
      </c>
      <c r="D29" s="76">
        <v>3042</v>
      </c>
      <c r="E29" s="6">
        <f>ROUND(C29-D29,0)</f>
        <v>554886</v>
      </c>
      <c r="F29" s="97">
        <f>E29*8.73</f>
        <v>4844155</v>
      </c>
      <c r="G29" s="19">
        <v>42618</v>
      </c>
      <c r="H29" s="19">
        <v>42621</v>
      </c>
      <c r="I29" s="93">
        <v>42643</v>
      </c>
      <c r="J29" s="334"/>
      <c r="K29" s="334"/>
      <c r="L29" s="83">
        <v>42642</v>
      </c>
    </row>
    <row r="30" spans="1:12">
      <c r="A30" s="17">
        <v>42614</v>
      </c>
      <c r="B30" s="17" t="s">
        <v>75</v>
      </c>
      <c r="C30" s="94"/>
      <c r="D30" s="94"/>
      <c r="E30" s="6">
        <f>ROUND(C30-D30,0)</f>
        <v>0</v>
      </c>
      <c r="F30" s="97">
        <f>E30*8.73</f>
        <v>0</v>
      </c>
      <c r="G30" s="19"/>
      <c r="H30" s="19"/>
      <c r="I30" s="93"/>
      <c r="J30" s="96"/>
      <c r="K30" s="96"/>
      <c r="L30" s="83"/>
    </row>
    <row r="31" spans="1:12">
      <c r="A31" s="17"/>
      <c r="B31" s="37"/>
      <c r="C31" s="94"/>
      <c r="D31" s="94"/>
      <c r="E31" s="6"/>
      <c r="F31" s="97"/>
      <c r="G31" s="19"/>
      <c r="H31" s="19"/>
      <c r="I31" s="93"/>
      <c r="J31" s="96"/>
      <c r="K31" s="96"/>
      <c r="L31" s="83"/>
    </row>
    <row r="32" spans="1:12">
      <c r="A32" s="17"/>
      <c r="B32" s="37"/>
      <c r="C32" s="94"/>
      <c r="D32" s="94"/>
      <c r="E32" s="6"/>
      <c r="F32" s="97"/>
      <c r="G32" s="19"/>
      <c r="H32" s="19"/>
      <c r="I32" s="93"/>
      <c r="J32" s="96"/>
      <c r="K32" s="96"/>
      <c r="L32" s="83"/>
    </row>
    <row r="33" spans="1:12">
      <c r="A33" s="17"/>
      <c r="B33" s="37"/>
      <c r="C33" s="94"/>
      <c r="D33" s="94"/>
      <c r="E33" s="6"/>
      <c r="F33" s="97"/>
      <c r="G33" s="19"/>
      <c r="H33" s="19"/>
      <c r="I33" s="93"/>
      <c r="J33" s="96"/>
      <c r="K33" s="96"/>
      <c r="L33" s="83"/>
    </row>
    <row r="34" spans="1:12">
      <c r="A34" s="17">
        <v>42522</v>
      </c>
      <c r="B34" s="17" t="s">
        <v>76</v>
      </c>
      <c r="C34" s="94">
        <v>837</v>
      </c>
      <c r="D34" s="94">
        <v>2106</v>
      </c>
      <c r="E34" s="6">
        <f>ROUND(C34-D34,0)</f>
        <v>-1269</v>
      </c>
      <c r="F34" s="8">
        <f>E34*8.73</f>
        <v>-11078</v>
      </c>
      <c r="G34" s="19">
        <v>42620</v>
      </c>
      <c r="H34" s="19">
        <v>42622</v>
      </c>
      <c r="I34" s="93">
        <f>H34+30</f>
        <v>42652</v>
      </c>
      <c r="J34" s="96"/>
      <c r="K34" s="96"/>
      <c r="L34" s="83"/>
    </row>
    <row r="35" spans="1:12">
      <c r="A35" s="17">
        <v>42552</v>
      </c>
      <c r="B35" s="17" t="s">
        <v>76</v>
      </c>
      <c r="C35" s="95"/>
      <c r="D35" s="95"/>
      <c r="E35" s="6">
        <f>ROUND(C35-D35,0)</f>
        <v>0</v>
      </c>
      <c r="F35" s="8">
        <f>E35*8.73</f>
        <v>0</v>
      </c>
      <c r="G35" s="19">
        <v>42584</v>
      </c>
      <c r="H35" s="19"/>
      <c r="I35" s="93">
        <v>42612</v>
      </c>
      <c r="J35" s="333"/>
      <c r="K35" s="333"/>
      <c r="L35" s="83" t="s">
        <v>71</v>
      </c>
    </row>
    <row r="36" spans="1:12">
      <c r="A36" s="17">
        <v>42583</v>
      </c>
      <c r="B36" s="17" t="s">
        <v>76</v>
      </c>
      <c r="C36" s="94"/>
      <c r="D36" s="94"/>
      <c r="E36" s="6">
        <f>F36/8.73</f>
        <v>832329</v>
      </c>
      <c r="F36" s="97">
        <v>7266232</v>
      </c>
      <c r="G36" s="19">
        <v>42618</v>
      </c>
      <c r="H36" s="19">
        <v>42621</v>
      </c>
      <c r="I36" s="93">
        <v>42643</v>
      </c>
      <c r="J36" s="334"/>
      <c r="K36" s="334"/>
      <c r="L36" s="83" t="s">
        <v>71</v>
      </c>
    </row>
    <row r="37" spans="1:12">
      <c r="A37" s="17">
        <v>42614</v>
      </c>
      <c r="B37" s="17" t="s">
        <v>76</v>
      </c>
      <c r="C37" s="94"/>
      <c r="D37" s="94"/>
      <c r="E37" s="6">
        <f>ROUND(C37-D37,0)</f>
        <v>0</v>
      </c>
      <c r="F37" s="97">
        <f>E37*8.73</f>
        <v>0</v>
      </c>
      <c r="G37" s="19"/>
      <c r="H37" s="19"/>
      <c r="I37" s="93"/>
      <c r="J37" s="96"/>
      <c r="K37" s="96"/>
      <c r="L37" s="83"/>
    </row>
    <row r="38" spans="1:12">
      <c r="A38" s="17"/>
      <c r="B38" s="37"/>
      <c r="C38" s="94"/>
      <c r="D38" s="94"/>
      <c r="E38" s="6"/>
      <c r="F38" s="97"/>
      <c r="G38" s="19"/>
      <c r="H38" s="19"/>
      <c r="I38" s="93"/>
      <c r="J38" s="96"/>
      <c r="K38" s="96"/>
      <c r="L38" s="83"/>
    </row>
    <row r="39" spans="1:12">
      <c r="A39" s="17"/>
      <c r="B39" s="17"/>
      <c r="C39" s="24"/>
      <c r="D39" s="24"/>
      <c r="E39" s="6"/>
      <c r="F39" s="8"/>
      <c r="G39" s="19"/>
      <c r="H39" s="19"/>
      <c r="I39" s="93"/>
      <c r="J39" s="77"/>
      <c r="K39" s="77"/>
      <c r="L39" s="81"/>
    </row>
    <row r="40" spans="1:12">
      <c r="A40" s="2" t="s">
        <v>10</v>
      </c>
      <c r="B40" s="2"/>
      <c r="C40" s="3">
        <f>SUM(C27:C39)</f>
        <v>1230633</v>
      </c>
      <c r="D40" s="3">
        <f>SUM(D27:D39)</f>
        <v>10917</v>
      </c>
      <c r="E40" s="3">
        <f>SUM(E27:E39)</f>
        <v>2052045</v>
      </c>
      <c r="F40" s="3">
        <f>SUM(F27:F39)</f>
        <v>17914353</v>
      </c>
      <c r="G40" s="3"/>
      <c r="H40" s="3"/>
      <c r="I40" s="3"/>
      <c r="J40" s="3">
        <f>SUM(J27:J39)</f>
        <v>10620824</v>
      </c>
      <c r="K40" s="3">
        <f>SUM(K27:K39)</f>
        <v>45761</v>
      </c>
      <c r="L40" s="13"/>
    </row>
    <row r="41" spans="1:12" s="41" customFormat="1">
      <c r="A41" s="39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82"/>
    </row>
    <row r="42" spans="1:12">
      <c r="F42" s="36"/>
    </row>
    <row r="43" spans="1:12">
      <c r="A43" s="1" t="s">
        <v>61</v>
      </c>
      <c r="B43" s="1"/>
      <c r="C43" t="s">
        <v>65</v>
      </c>
      <c r="I43" t="s">
        <v>64</v>
      </c>
    </row>
    <row r="44" spans="1:12">
      <c r="A44" s="1"/>
      <c r="B44" s="1"/>
      <c r="C44" t="s">
        <v>66</v>
      </c>
      <c r="I44" t="s">
        <v>70</v>
      </c>
    </row>
    <row r="45" spans="1:12">
      <c r="A45" s="1" t="s">
        <v>62</v>
      </c>
      <c r="B45" s="1"/>
      <c r="C45" t="s">
        <v>68</v>
      </c>
    </row>
    <row r="46" spans="1:12">
      <c r="A46" s="1"/>
      <c r="B46" s="1"/>
      <c r="C46" t="s">
        <v>69</v>
      </c>
    </row>
    <row r="47" spans="1:12">
      <c r="A47" s="1" t="s">
        <v>63</v>
      </c>
      <c r="B47" s="1"/>
      <c r="C47" t="s">
        <v>67</v>
      </c>
    </row>
  </sheetData>
  <mergeCells count="8">
    <mergeCell ref="J35:J36"/>
    <mergeCell ref="K35:K36"/>
    <mergeCell ref="J6:J7"/>
    <mergeCell ref="K6:K7"/>
    <mergeCell ref="J28:J29"/>
    <mergeCell ref="K28:K29"/>
    <mergeCell ref="J12:J13"/>
    <mergeCell ref="K12:K13"/>
  </mergeCells>
  <phoneticPr fontId="19" type="noConversion"/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L47"/>
  <sheetViews>
    <sheetView topLeftCell="A10" workbookViewId="0">
      <selection activeCell="E13" sqref="E13"/>
    </sheetView>
  </sheetViews>
  <sheetFormatPr defaultRowHeight="14.4"/>
  <cols>
    <col min="1" max="1" width="3.44140625" customWidth="1"/>
    <col min="2" max="2" width="8.44140625" bestFit="1" customWidth="1"/>
    <col min="3" max="3" width="13.44140625" customWidth="1"/>
    <col min="4" max="4" width="12.6640625" bestFit="1" customWidth="1"/>
    <col min="5" max="5" width="15.6640625" customWidth="1"/>
    <col min="6" max="6" width="15.109375" customWidth="1"/>
    <col min="7" max="7" width="9.109375" customWidth="1"/>
    <col min="8" max="8" width="8" bestFit="1" customWidth="1"/>
    <col min="9" max="9" width="16.44140625" customWidth="1"/>
    <col min="10" max="10" width="16" customWidth="1"/>
    <col min="11" max="11" width="14.5546875" customWidth="1"/>
    <col min="12" max="12" width="10.5546875" bestFit="1" customWidth="1"/>
  </cols>
  <sheetData>
    <row r="1" spans="2:11" ht="15" thickBot="1"/>
    <row r="2" spans="2:11" ht="18.75" customHeight="1">
      <c r="B2" s="327" t="s">
        <v>72</v>
      </c>
      <c r="C2" s="328"/>
      <c r="D2" s="328"/>
      <c r="E2" s="328"/>
      <c r="F2" s="328"/>
    </row>
    <row r="3" spans="2:11" ht="15" thickBot="1">
      <c r="B3" s="330"/>
      <c r="C3" s="331"/>
      <c r="D3" s="331"/>
      <c r="E3" s="331"/>
      <c r="F3" s="331"/>
    </row>
    <row r="4" spans="2:11" s="102" customFormat="1" ht="29.4" thickBot="1">
      <c r="B4" s="135" t="s">
        <v>52</v>
      </c>
      <c r="C4" s="136" t="s">
        <v>1</v>
      </c>
      <c r="D4" s="136" t="s">
        <v>2</v>
      </c>
      <c r="E4" s="108" t="s">
        <v>3</v>
      </c>
      <c r="F4" s="108" t="s">
        <v>88</v>
      </c>
      <c r="H4"/>
      <c r="I4"/>
      <c r="J4"/>
      <c r="K4"/>
    </row>
    <row r="5" spans="2:11">
      <c r="B5" s="109">
        <v>44197</v>
      </c>
      <c r="C5" s="225">
        <v>5177500</v>
      </c>
      <c r="D5" s="225">
        <v>25300</v>
      </c>
      <c r="E5" s="192">
        <f t="shared" ref="E5:E12" si="0">C5-D5</f>
        <v>5152200</v>
      </c>
      <c r="F5" s="220">
        <v>5152200</v>
      </c>
      <c r="G5" s="270"/>
    </row>
    <row r="6" spans="2:11">
      <c r="B6" s="252">
        <v>44228</v>
      </c>
      <c r="C6" s="227">
        <v>5699100</v>
      </c>
      <c r="D6" s="227">
        <v>22900</v>
      </c>
      <c r="E6" s="192">
        <f t="shared" si="0"/>
        <v>5676200</v>
      </c>
      <c r="F6" s="220">
        <v>5676200</v>
      </c>
      <c r="G6" s="270"/>
    </row>
    <row r="7" spans="2:11">
      <c r="B7" s="252">
        <v>44256</v>
      </c>
      <c r="C7" s="227">
        <v>5480300</v>
      </c>
      <c r="D7" s="227">
        <v>19600</v>
      </c>
      <c r="E7" s="192">
        <f t="shared" si="0"/>
        <v>5460700</v>
      </c>
      <c r="F7" s="220">
        <v>5460700</v>
      </c>
      <c r="G7" s="270"/>
    </row>
    <row r="8" spans="2:11">
      <c r="B8" s="109">
        <v>44287</v>
      </c>
      <c r="C8" s="227">
        <v>5467200</v>
      </c>
      <c r="D8" s="227">
        <v>21600</v>
      </c>
      <c r="E8" s="192">
        <f t="shared" si="0"/>
        <v>5445600</v>
      </c>
      <c r="F8" s="220">
        <v>5445600</v>
      </c>
      <c r="G8" s="270"/>
    </row>
    <row r="9" spans="2:11">
      <c r="B9" s="252">
        <v>44317</v>
      </c>
      <c r="C9" s="227">
        <v>5446200</v>
      </c>
      <c r="D9" s="227">
        <v>21200</v>
      </c>
      <c r="E9" s="192">
        <f>C9-D9</f>
        <v>5425000</v>
      </c>
      <c r="F9" s="220">
        <v>5425000</v>
      </c>
      <c r="G9" s="270"/>
    </row>
    <row r="10" spans="2:11">
      <c r="B10" s="109">
        <v>44348</v>
      </c>
      <c r="C10" s="227">
        <v>4910600</v>
      </c>
      <c r="D10" s="227">
        <v>22000</v>
      </c>
      <c r="E10" s="192">
        <f t="shared" si="0"/>
        <v>4888600</v>
      </c>
      <c r="F10" s="220">
        <v>4888600</v>
      </c>
      <c r="G10" s="270"/>
    </row>
    <row r="11" spans="2:11">
      <c r="B11" s="252">
        <v>44378</v>
      </c>
      <c r="C11" s="222">
        <v>3789700</v>
      </c>
      <c r="D11" s="222">
        <v>22200</v>
      </c>
      <c r="E11" s="192">
        <f t="shared" si="0"/>
        <v>3767500</v>
      </c>
      <c r="F11" s="220">
        <v>3767500</v>
      </c>
      <c r="G11" s="270"/>
    </row>
    <row r="12" spans="2:11" ht="15" thickBot="1">
      <c r="B12" s="252">
        <v>44409</v>
      </c>
      <c r="C12" s="309">
        <v>4508000</v>
      </c>
      <c r="D12" s="309">
        <v>21600</v>
      </c>
      <c r="E12" s="192">
        <f t="shared" si="0"/>
        <v>4486400</v>
      </c>
      <c r="F12" s="220">
        <v>4486400</v>
      </c>
      <c r="G12" s="270"/>
    </row>
    <row r="13" spans="2:11" ht="15" thickBot="1">
      <c r="B13" s="229" t="s">
        <v>10</v>
      </c>
      <c r="C13" s="198">
        <f>SUM(C5:C12)</f>
        <v>40478600</v>
      </c>
      <c r="D13" s="198">
        <f>SUM(D5:D12)</f>
        <v>176400</v>
      </c>
      <c r="E13" s="198">
        <f>SUM(E5:E12)</f>
        <v>40302200</v>
      </c>
      <c r="F13" s="198">
        <f>SUM(F5:F12)</f>
        <v>40302200</v>
      </c>
    </row>
    <row r="14" spans="2:11" ht="15" thickBot="1"/>
    <row r="15" spans="2:11" ht="18.75" customHeight="1">
      <c r="B15" s="327" t="s">
        <v>73</v>
      </c>
      <c r="C15" s="328"/>
      <c r="D15" s="328"/>
      <c r="E15" s="328"/>
      <c r="F15" s="328"/>
    </row>
    <row r="16" spans="2:11" ht="15" thickBot="1">
      <c r="B16" s="330"/>
      <c r="C16" s="331"/>
      <c r="D16" s="331"/>
      <c r="E16" s="331"/>
      <c r="F16" s="331"/>
    </row>
    <row r="17" spans="2:12" ht="29.4" thickBot="1">
      <c r="B17" s="105" t="s">
        <v>52</v>
      </c>
      <c r="C17" s="106" t="s">
        <v>1</v>
      </c>
      <c r="D17" s="106" t="s">
        <v>2</v>
      </c>
      <c r="E17" s="107" t="s">
        <v>3</v>
      </c>
      <c r="F17" s="108" t="s">
        <v>88</v>
      </c>
      <c r="L17" s="36"/>
    </row>
    <row r="18" spans="2:12">
      <c r="B18" s="109">
        <v>44197</v>
      </c>
      <c r="C18" s="225">
        <v>8749000</v>
      </c>
      <c r="D18" s="225">
        <v>39000</v>
      </c>
      <c r="E18" s="194">
        <f t="shared" ref="E18:E25" si="1">C18-D18</f>
        <v>8710000</v>
      </c>
      <c r="F18" s="220">
        <v>8710000</v>
      </c>
      <c r="G18" s="270"/>
      <c r="L18" s="36"/>
    </row>
    <row r="19" spans="2:12">
      <c r="B19" s="252">
        <v>44228</v>
      </c>
      <c r="C19" s="227">
        <v>9526000</v>
      </c>
      <c r="D19" s="227">
        <v>38000</v>
      </c>
      <c r="E19" s="194">
        <f t="shared" si="1"/>
        <v>9488000</v>
      </c>
      <c r="F19" s="220">
        <v>9488000</v>
      </c>
      <c r="G19" s="270"/>
      <c r="L19" s="36"/>
    </row>
    <row r="20" spans="2:12">
      <c r="B20" s="252">
        <v>44256</v>
      </c>
      <c r="C20" s="227">
        <v>8941000</v>
      </c>
      <c r="D20" s="227">
        <v>33000</v>
      </c>
      <c r="E20" s="194">
        <f t="shared" si="1"/>
        <v>8908000</v>
      </c>
      <c r="F20" s="220">
        <v>8908000</v>
      </c>
      <c r="G20" s="270"/>
      <c r="L20" s="36"/>
    </row>
    <row r="21" spans="2:12">
      <c r="B21" s="109">
        <v>44287</v>
      </c>
      <c r="C21" s="227">
        <v>9294000</v>
      </c>
      <c r="D21" s="227">
        <v>35000</v>
      </c>
      <c r="E21" s="194">
        <f>C21-D21</f>
        <v>9259000</v>
      </c>
      <c r="F21" s="220">
        <v>9259000</v>
      </c>
      <c r="G21" s="270"/>
    </row>
    <row r="22" spans="2:12">
      <c r="B22" s="109">
        <v>44317</v>
      </c>
      <c r="C22" s="227">
        <v>8804000</v>
      </c>
      <c r="D22" s="227">
        <v>34000</v>
      </c>
      <c r="E22" s="194">
        <f t="shared" si="1"/>
        <v>8770000</v>
      </c>
      <c r="F22" s="220">
        <v>8770000</v>
      </c>
      <c r="G22" s="270"/>
    </row>
    <row r="23" spans="2:12">
      <c r="B23" s="252">
        <v>44348</v>
      </c>
      <c r="C23" s="227">
        <v>8276000</v>
      </c>
      <c r="D23" s="227">
        <v>36000</v>
      </c>
      <c r="E23" s="194">
        <f t="shared" si="1"/>
        <v>8240000</v>
      </c>
      <c r="F23" s="220">
        <v>8240000</v>
      </c>
      <c r="G23" s="270"/>
    </row>
    <row r="24" spans="2:12">
      <c r="B24" s="109">
        <v>44378</v>
      </c>
      <c r="C24" s="227">
        <v>6548000</v>
      </c>
      <c r="D24" s="227">
        <v>34000</v>
      </c>
      <c r="E24" s="194">
        <f t="shared" si="1"/>
        <v>6514000</v>
      </c>
      <c r="F24" s="220">
        <v>6514000</v>
      </c>
      <c r="G24" s="270"/>
    </row>
    <row r="25" spans="2:12" ht="15" thickBot="1">
      <c r="B25" s="252">
        <v>44409</v>
      </c>
      <c r="C25" s="227">
        <v>7431000</v>
      </c>
      <c r="D25" s="227">
        <v>36000</v>
      </c>
      <c r="E25" s="194">
        <f t="shared" si="1"/>
        <v>7395000</v>
      </c>
      <c r="F25" s="223">
        <v>7395000</v>
      </c>
      <c r="G25" s="270"/>
    </row>
    <row r="26" spans="2:12" ht="15" thickBot="1">
      <c r="B26" s="112" t="s">
        <v>10</v>
      </c>
      <c r="C26" s="198">
        <f>SUM(C18:C25)</f>
        <v>67569000</v>
      </c>
      <c r="D26" s="198">
        <f>SUM(D18:D25)</f>
        <v>285000</v>
      </c>
      <c r="E26" s="198">
        <f>SUM(E18:E25)</f>
        <v>67284000</v>
      </c>
      <c r="F26" s="199">
        <f>SUM(F18:F25)</f>
        <v>67284000</v>
      </c>
    </row>
    <row r="27" spans="2:12">
      <c r="B27" s="39"/>
      <c r="C27" s="40"/>
      <c r="D27" s="40"/>
      <c r="E27" s="40"/>
    </row>
    <row r="37" spans="2:10">
      <c r="F37" s="41"/>
      <c r="G37" s="41"/>
    </row>
    <row r="47" spans="2:10" s="41" customFormat="1">
      <c r="B47"/>
      <c r="C47"/>
      <c r="D47"/>
      <c r="E47"/>
      <c r="F47"/>
      <c r="G47"/>
      <c r="H47"/>
      <c r="I47"/>
      <c r="J47"/>
    </row>
  </sheetData>
  <mergeCells count="2">
    <mergeCell ref="B15:F16"/>
    <mergeCell ref="B2:F3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Actual ER</vt:lpstr>
      <vt:lpstr>Punjab</vt:lpstr>
      <vt:lpstr>AP</vt:lpstr>
      <vt:lpstr>Odisha</vt:lpstr>
      <vt:lpstr>SECI</vt:lpstr>
      <vt:lpstr>CG</vt:lpstr>
      <vt:lpstr>June Month Billing</vt:lpstr>
      <vt:lpstr>Bihar</vt:lpstr>
      <vt:lpstr>Telangana</vt:lpstr>
      <vt:lpstr>Uttarakhand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2022-01-17T16:10:46Z</dcterms:modified>
</cp:coreProperties>
</file>