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 defaultThemeVersion="124226"/>
  <xr:revisionPtr revIDLastSave="4" documentId="13_ncr:1_{5F880D40-6544-4A5D-997C-5A3B51D90055}" xr6:coauthVersionLast="47" xr6:coauthVersionMax="47" xr10:uidLastSave="{9F16E6D3-2CBE-42E5-B007-4F7DB76A3D8A}"/>
  <bookViews>
    <workbookView xWindow="-120" yWindow="-120" windowWidth="29040" windowHeight="15840" tabRatio="738" activeTab="1" xr2:uid="{00000000-000D-0000-FFFF-FFFF00000000}"/>
  </bookViews>
  <sheets>
    <sheet name="ER Cal-Summary" sheetId="1" r:id="rId1"/>
    <sheet name="Karnataka Site" sheetId="2" r:id="rId2"/>
    <sheet name="Punjab Site" sheetId="3" r:id="rId3"/>
    <sheet name="Mytrah-Abhinav (TL)" sheetId="4" r:id="rId4"/>
    <sheet name="Mytrah-Adarsh (TL)" sheetId="5" r:id="rId5"/>
    <sheet name="Mytrah-Agriya (TL)" sheetId="7" r:id="rId6"/>
    <sheet name="Mytrah-Aakash (TL)" sheetId="6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2" l="1"/>
  <c r="F82" i="2"/>
  <c r="F83" i="2"/>
  <c r="F84" i="2"/>
  <c r="F85" i="2"/>
  <c r="F81" i="2"/>
  <c r="F72" i="2"/>
  <c r="F73" i="2"/>
  <c r="F74" i="2"/>
  <c r="F75" i="2"/>
  <c r="F76" i="2"/>
  <c r="F77" i="2"/>
  <c r="F78" i="2"/>
  <c r="F79" i="2"/>
  <c r="F71" i="2"/>
  <c r="F53" i="2"/>
  <c r="F54" i="2"/>
  <c r="F55" i="2"/>
  <c r="F57" i="2"/>
  <c r="F52" i="2"/>
  <c r="F43" i="2"/>
  <c r="F51" i="2" s="1"/>
  <c r="F44" i="2"/>
  <c r="F45" i="2"/>
  <c r="F46" i="2"/>
  <c r="F47" i="2"/>
  <c r="F48" i="2"/>
  <c r="F49" i="2"/>
  <c r="F50" i="2"/>
  <c r="F42" i="2"/>
  <c r="F22" i="2"/>
  <c r="F24" i="2"/>
  <c r="F21" i="2"/>
  <c r="F12" i="2"/>
  <c r="F13" i="2"/>
  <c r="F14" i="2"/>
  <c r="F15" i="2"/>
  <c r="F16" i="2"/>
  <c r="F17" i="2"/>
  <c r="F18" i="2"/>
  <c r="F19" i="2"/>
  <c r="F77" i="5" l="1"/>
  <c r="F78" i="5"/>
  <c r="F80" i="5"/>
  <c r="F81" i="5"/>
  <c r="F82" i="5"/>
  <c r="F83" i="5"/>
  <c r="F84" i="5"/>
  <c r="F85" i="5"/>
  <c r="O81" i="4" l="1"/>
  <c r="O80" i="4"/>
  <c r="O83" i="4"/>
  <c r="H83" i="5" l="1"/>
  <c r="J83" i="5" s="1"/>
  <c r="G90" i="4" l="1"/>
  <c r="I90" i="4" s="1"/>
  <c r="K90" i="4" s="1"/>
  <c r="F53" i="5"/>
  <c r="H53" i="5" s="1"/>
  <c r="J53" i="5" s="1"/>
  <c r="D23" i="2"/>
  <c r="E20" i="2" l="1"/>
  <c r="D20" i="2"/>
  <c r="J44" i="6"/>
  <c r="H47" i="6"/>
  <c r="K50" i="6" s="1"/>
  <c r="D56" i="2"/>
  <c r="E23" i="2"/>
  <c r="F23" i="2" s="1"/>
  <c r="C13" i="1"/>
  <c r="N32" i="6"/>
  <c r="N31" i="6"/>
  <c r="O30" i="6" s="1"/>
  <c r="N33" i="7"/>
  <c r="N32" i="7"/>
  <c r="O31" i="7" s="1"/>
  <c r="P31" i="7" s="1"/>
  <c r="E35" i="7" s="1"/>
  <c r="E26" i="7" s="1"/>
  <c r="N15" i="7"/>
  <c r="N182" i="5"/>
  <c r="N181" i="5"/>
  <c r="O180" i="5" s="1"/>
  <c r="N152" i="5"/>
  <c r="N151" i="5"/>
  <c r="O149" i="5" s="1"/>
  <c r="N123" i="5"/>
  <c r="N122" i="5"/>
  <c r="O121" i="5" s="1"/>
  <c r="N93" i="5"/>
  <c r="N92" i="5"/>
  <c r="O90" i="5" s="1"/>
  <c r="O16" i="6"/>
  <c r="O15" i="6"/>
  <c r="N16" i="7"/>
  <c r="N64" i="5"/>
  <c r="N63" i="5"/>
  <c r="O61" i="5" s="1"/>
  <c r="P61" i="5" s="1"/>
  <c r="D64" i="5" s="1"/>
  <c r="D56" i="5" s="1"/>
  <c r="N33" i="5"/>
  <c r="N32" i="5"/>
  <c r="O30" i="5" s="1"/>
  <c r="P30" i="5" s="1"/>
  <c r="D34" i="5" s="1"/>
  <c r="D26" i="5" s="1"/>
  <c r="O31" i="5"/>
  <c r="P31" i="5" s="1"/>
  <c r="E34" i="5" s="1"/>
  <c r="E26" i="5" s="1"/>
  <c r="M163" i="5"/>
  <c r="M130" i="5"/>
  <c r="M106" i="5"/>
  <c r="M42" i="5"/>
  <c r="O215" i="4"/>
  <c r="O233" i="4"/>
  <c r="O232" i="4"/>
  <c r="P231" i="4" s="1"/>
  <c r="O203" i="4"/>
  <c r="O202" i="4"/>
  <c r="P201" i="4" s="1"/>
  <c r="Q201" i="4" s="1"/>
  <c r="F204" i="4" s="1"/>
  <c r="F196" i="4" s="1"/>
  <c r="O185" i="4"/>
  <c r="O172" i="4"/>
  <c r="O171" i="4"/>
  <c r="P170" i="4" s="1"/>
  <c r="Q170" i="4" s="1"/>
  <c r="F171" i="4" s="1"/>
  <c r="F163" i="4" s="1"/>
  <c r="F170" i="4"/>
  <c r="E170" i="4"/>
  <c r="P152" i="4"/>
  <c r="O138" i="4"/>
  <c r="O137" i="4"/>
  <c r="P136" i="4" s="1"/>
  <c r="F137" i="4"/>
  <c r="E137" i="4"/>
  <c r="O121" i="4"/>
  <c r="O120" i="4"/>
  <c r="P101" i="4"/>
  <c r="P100" i="4"/>
  <c r="Q99" i="4" s="1"/>
  <c r="O82" i="4"/>
  <c r="O47" i="4"/>
  <c r="P22" i="4"/>
  <c r="O67" i="4"/>
  <c r="O66" i="4"/>
  <c r="P65" i="4" s="1"/>
  <c r="K47" i="6" l="1"/>
  <c r="M43" i="6"/>
  <c r="O150" i="5"/>
  <c r="Q98" i="4"/>
  <c r="P180" i="5"/>
  <c r="E184" i="5" s="1"/>
  <c r="E175" i="5" s="1"/>
  <c r="O62" i="5"/>
  <c r="P62" i="5" s="1"/>
  <c r="E64" i="5" s="1"/>
  <c r="E56" i="5" s="1"/>
  <c r="P150" i="5"/>
  <c r="E153" i="5" s="1"/>
  <c r="E145" i="5" s="1"/>
  <c r="R99" i="4"/>
  <c r="F101" i="4" s="1"/>
  <c r="F93" i="4" s="1"/>
  <c r="Q136" i="4"/>
  <c r="F138" i="4" s="1"/>
  <c r="P149" i="5"/>
  <c r="D153" i="5" s="1"/>
  <c r="D145" i="5" s="1"/>
  <c r="P30" i="6"/>
  <c r="J30" i="6" s="1"/>
  <c r="E25" i="6" s="1"/>
  <c r="O179" i="5"/>
  <c r="P179" i="5" s="1"/>
  <c r="D184" i="5" s="1"/>
  <c r="D175" i="5" s="1"/>
  <c r="P169" i="4"/>
  <c r="Q169" i="4" s="1"/>
  <c r="E171" i="4" s="1"/>
  <c r="E163" i="4" s="1"/>
  <c r="G163" i="4" s="1"/>
  <c r="I163" i="4" s="1"/>
  <c r="P200" i="4"/>
  <c r="Q200" i="4" s="1"/>
  <c r="E204" i="4" s="1"/>
  <c r="E196" i="4" s="1"/>
  <c r="Q231" i="4"/>
  <c r="F235" i="4" s="1"/>
  <c r="F226" i="4" s="1"/>
  <c r="P121" i="5"/>
  <c r="E124" i="5" s="1"/>
  <c r="E116" i="5" s="1"/>
  <c r="O29" i="6"/>
  <c r="P29" i="6" s="1"/>
  <c r="I30" i="6" s="1"/>
  <c r="D25" i="6" s="1"/>
  <c r="O30" i="7"/>
  <c r="P30" i="7" s="1"/>
  <c r="D35" i="7" s="1"/>
  <c r="D26" i="7" s="1"/>
  <c r="O120" i="5"/>
  <c r="P120" i="5" s="1"/>
  <c r="D124" i="5" s="1"/>
  <c r="D116" i="5" s="1"/>
  <c r="P90" i="5"/>
  <c r="D94" i="5" s="1"/>
  <c r="D86" i="5" s="1"/>
  <c r="O91" i="5"/>
  <c r="P91" i="5" s="1"/>
  <c r="E94" i="5" s="1"/>
  <c r="E86" i="5" s="1"/>
  <c r="P230" i="4"/>
  <c r="Q230" i="4" s="1"/>
  <c r="E235" i="4" s="1"/>
  <c r="E226" i="4" s="1"/>
  <c r="R98" i="4"/>
  <c r="E101" i="4" s="1"/>
  <c r="E93" i="4" s="1"/>
  <c r="P135" i="4"/>
  <c r="Q135" i="4" s="1"/>
  <c r="Q65" i="4"/>
  <c r="F67" i="4" s="1"/>
  <c r="F59" i="4" s="1"/>
  <c r="P64" i="4"/>
  <c r="Q64" i="4" s="1"/>
  <c r="E67" i="4" s="1"/>
  <c r="E59" i="4" s="1"/>
  <c r="F86" i="5" l="1"/>
  <c r="F87" i="5" s="1"/>
  <c r="F145" i="5"/>
  <c r="F130" i="4"/>
  <c r="F131" i="4" s="1"/>
  <c r="E130" i="4"/>
  <c r="E138" i="4"/>
  <c r="P34" i="4" l="1"/>
  <c r="P33" i="4"/>
  <c r="Q32" i="4" s="1"/>
  <c r="M33" i="2"/>
  <c r="M32" i="2"/>
  <c r="N31" i="2" s="1"/>
  <c r="O31" i="2" s="1"/>
  <c r="E34" i="2" s="1"/>
  <c r="E26" i="2" s="1"/>
  <c r="N89" i="2"/>
  <c r="M91" i="2"/>
  <c r="M90" i="2"/>
  <c r="N88" i="2" s="1"/>
  <c r="P52" i="3"/>
  <c r="P51" i="3"/>
  <c r="P70" i="3"/>
  <c r="P69" i="3"/>
  <c r="Q68" i="3" s="1"/>
  <c r="O35" i="3"/>
  <c r="O34" i="3"/>
  <c r="P33" i="3" s="1"/>
  <c r="O89" i="2" l="1"/>
  <c r="E92" i="2" s="1"/>
  <c r="E86" i="2" s="1"/>
  <c r="O88" i="2"/>
  <c r="D92" i="2" s="1"/>
  <c r="D86" i="2" s="1"/>
  <c r="F86" i="2" s="1"/>
  <c r="Q33" i="3"/>
  <c r="E36" i="3" s="1"/>
  <c r="E26" i="3" s="1"/>
  <c r="R32" i="4"/>
  <c r="F34" i="4" s="1"/>
  <c r="F26" i="4" s="1"/>
  <c r="Q31" i="4"/>
  <c r="R31" i="4" s="1"/>
  <c r="E34" i="4" s="1"/>
  <c r="E26" i="4" s="1"/>
  <c r="G26" i="4" s="1"/>
  <c r="N30" i="2"/>
  <c r="O30" i="2" s="1"/>
  <c r="R68" i="3"/>
  <c r="E66" i="3" s="1"/>
  <c r="E58" i="3" s="1"/>
  <c r="Q67" i="3"/>
  <c r="R67" i="3" s="1"/>
  <c r="D66" i="3" s="1"/>
  <c r="D58" i="3" s="1"/>
  <c r="P32" i="3"/>
  <c r="Q32" i="3" s="1"/>
  <c r="D36" i="3" s="1"/>
  <c r="D26" i="3" s="1"/>
  <c r="Q49" i="3"/>
  <c r="O16" i="3"/>
  <c r="P15" i="3" s="1"/>
  <c r="Q15" i="3" s="1"/>
  <c r="E32" i="3" s="1"/>
  <c r="E11" i="3" s="1"/>
  <c r="D25" i="2"/>
  <c r="F25" i="2" s="1"/>
  <c r="D34" i="2" l="1"/>
  <c r="D26" i="2" s="1"/>
  <c r="F26" i="2" s="1"/>
  <c r="R49" i="3"/>
  <c r="D70" i="3" s="1"/>
  <c r="D43" i="3" s="1"/>
  <c r="D52" i="3" s="1"/>
  <c r="Q50" i="3"/>
  <c r="R50" i="3" s="1"/>
  <c r="E70" i="3" s="1"/>
  <c r="E43" i="3" s="1"/>
  <c r="P14" i="3"/>
  <c r="Q14" i="3" s="1"/>
  <c r="D32" i="3" s="1"/>
  <c r="D11" i="3" s="1"/>
  <c r="D20" i="3" s="1"/>
  <c r="P23" i="4"/>
  <c r="P214" i="4" l="1"/>
  <c r="P213" i="4"/>
  <c r="O216" i="4"/>
  <c r="P184" i="4"/>
  <c r="P183" i="4"/>
  <c r="O186" i="4"/>
  <c r="P153" i="4"/>
  <c r="Q151" i="4"/>
  <c r="P119" i="4"/>
  <c r="Q119" i="4" s="1"/>
  <c r="F135" i="4" s="1"/>
  <c r="F114" i="4" s="1"/>
  <c r="P118" i="4"/>
  <c r="Q118" i="4" s="1"/>
  <c r="E135" i="4" s="1"/>
  <c r="E114" i="4" s="1"/>
  <c r="P81" i="4"/>
  <c r="O48" i="4"/>
  <c r="P45" i="4"/>
  <c r="Q21" i="4"/>
  <c r="R21" i="4" s="1"/>
  <c r="F31" i="4" s="1"/>
  <c r="F10" i="4" s="1"/>
  <c r="Q20" i="4"/>
  <c r="R20" i="4" s="1"/>
  <c r="E31" i="4" s="1"/>
  <c r="E10" i="4" s="1"/>
  <c r="P14" i="6"/>
  <c r="Q14" i="6" s="1"/>
  <c r="E30" i="6" s="1"/>
  <c r="E10" i="6" s="1"/>
  <c r="O14" i="7"/>
  <c r="O13" i="7"/>
  <c r="P13" i="7" s="1"/>
  <c r="D32" i="7" s="1"/>
  <c r="D10" i="7" s="1"/>
  <c r="N162" i="5"/>
  <c r="N161" i="5"/>
  <c r="M164" i="5"/>
  <c r="N129" i="5"/>
  <c r="M131" i="5"/>
  <c r="M107" i="5"/>
  <c r="D70" i="5"/>
  <c r="E70" i="5"/>
  <c r="M43" i="5"/>
  <c r="N40" i="5"/>
  <c r="E10" i="5"/>
  <c r="D10" i="5"/>
  <c r="R151" i="4" l="1"/>
  <c r="F168" i="4" s="1"/>
  <c r="F147" i="4" s="1"/>
  <c r="Q183" i="4"/>
  <c r="E201" i="4" s="1"/>
  <c r="E180" i="4" s="1"/>
  <c r="O161" i="5"/>
  <c r="D181" i="5" s="1"/>
  <c r="D159" i="5" s="1"/>
  <c r="O40" i="5"/>
  <c r="D61" i="5" s="1"/>
  <c r="D40" i="5" s="1"/>
  <c r="Q184" i="4"/>
  <c r="F201" i="4" s="1"/>
  <c r="F180" i="4" s="1"/>
  <c r="Q213" i="4"/>
  <c r="P46" i="4"/>
  <c r="Q46" i="4" s="1"/>
  <c r="F64" i="4" s="1"/>
  <c r="F43" i="4" s="1"/>
  <c r="Q81" i="4"/>
  <c r="F98" i="4" s="1"/>
  <c r="F77" i="4" s="1"/>
  <c r="Q214" i="4"/>
  <c r="Q150" i="4"/>
  <c r="Q45" i="4"/>
  <c r="E64" i="4" s="1"/>
  <c r="E43" i="4" s="1"/>
  <c r="P13" i="6"/>
  <c r="Q13" i="6" s="1"/>
  <c r="D30" i="6" s="1"/>
  <c r="D10" i="6" s="1"/>
  <c r="P14" i="7"/>
  <c r="E32" i="7" s="1"/>
  <c r="E10" i="7" s="1"/>
  <c r="O162" i="5"/>
  <c r="E181" i="5" s="1"/>
  <c r="E159" i="5" s="1"/>
  <c r="O129" i="5"/>
  <c r="E150" i="5" s="1"/>
  <c r="E130" i="5" s="1"/>
  <c r="N128" i="5"/>
  <c r="O128" i="5" s="1"/>
  <c r="D150" i="5" s="1"/>
  <c r="D130" i="5" s="1"/>
  <c r="N41" i="5"/>
  <c r="O41" i="5" s="1"/>
  <c r="E61" i="5" s="1"/>
  <c r="E40" i="5" s="1"/>
  <c r="N104" i="5"/>
  <c r="O104" i="5" s="1"/>
  <c r="D121" i="5" s="1"/>
  <c r="D100" i="5" s="1"/>
  <c r="N105" i="5"/>
  <c r="O105" i="5" s="1"/>
  <c r="E121" i="5" s="1"/>
  <c r="E100" i="5" s="1"/>
  <c r="E56" i="2"/>
  <c r="F56" i="2" s="1"/>
  <c r="D19" i="5"/>
  <c r="F232" i="4" l="1"/>
  <c r="F210" i="4"/>
  <c r="E232" i="4"/>
  <c r="E210" i="4"/>
  <c r="R150" i="4"/>
  <c r="E168" i="4" s="1"/>
  <c r="E147" i="4" s="1"/>
  <c r="G10" i="4"/>
  <c r="H12" i="2"/>
  <c r="I10" i="4" l="1"/>
  <c r="H164" i="4"/>
  <c r="F164" i="4"/>
  <c r="K163" i="4"/>
  <c r="E164" i="4"/>
  <c r="H197" i="4"/>
  <c r="H227" i="4"/>
  <c r="H131" i="4"/>
  <c r="H60" i="4"/>
  <c r="H27" i="4"/>
  <c r="B57" i="3"/>
  <c r="B56" i="3"/>
  <c r="B55" i="3"/>
  <c r="B54" i="3"/>
  <c r="B53" i="3"/>
  <c r="B51" i="3"/>
  <c r="E27" i="7"/>
  <c r="F26" i="7"/>
  <c r="H26" i="7" s="1"/>
  <c r="J26" i="7" s="1"/>
  <c r="D27" i="7"/>
  <c r="F113" i="5"/>
  <c r="H113" i="5" s="1"/>
  <c r="J113" i="5" s="1"/>
  <c r="G193" i="4"/>
  <c r="I193" i="4" s="1"/>
  <c r="K193" i="4" s="1"/>
  <c r="G196" i="4"/>
  <c r="I196" i="4" s="1"/>
  <c r="F227" i="4"/>
  <c r="G226" i="4"/>
  <c r="I226" i="4" s="1"/>
  <c r="E227" i="4"/>
  <c r="F197" i="4"/>
  <c r="E197" i="4"/>
  <c r="G130" i="4"/>
  <c r="I130" i="4" s="1"/>
  <c r="K130" i="4" s="1"/>
  <c r="E131" i="4"/>
  <c r="F60" i="4"/>
  <c r="G59" i="4"/>
  <c r="I59" i="4" s="1"/>
  <c r="K59" i="4" s="1"/>
  <c r="E60" i="4"/>
  <c r="F27" i="4"/>
  <c r="I26" i="4"/>
  <c r="K26" i="4" s="1"/>
  <c r="E27" i="4"/>
  <c r="F174" i="5"/>
  <c r="H174" i="5" s="1"/>
  <c r="J174" i="5" s="1"/>
  <c r="F175" i="5"/>
  <c r="H175" i="5" s="1"/>
  <c r="J175" i="5" s="1"/>
  <c r="F24" i="5"/>
  <c r="H24" i="5" s="1"/>
  <c r="J24" i="5" s="1"/>
  <c r="G26" i="6"/>
  <c r="E26" i="6"/>
  <c r="D26" i="6"/>
  <c r="F25" i="6"/>
  <c r="H25" i="6" s="1"/>
  <c r="J25" i="6" s="1"/>
  <c r="F24" i="6"/>
  <c r="H24" i="6" s="1"/>
  <c r="J24" i="6" s="1"/>
  <c r="F23" i="6"/>
  <c r="H23" i="6" s="1"/>
  <c r="F22" i="6"/>
  <c r="H22" i="6" s="1"/>
  <c r="J22" i="6" s="1"/>
  <c r="F21" i="6"/>
  <c r="H21" i="6" s="1"/>
  <c r="J21" i="6" s="1"/>
  <c r="F20" i="6"/>
  <c r="G19" i="6"/>
  <c r="E19" i="6"/>
  <c r="D19" i="6"/>
  <c r="F18" i="6"/>
  <c r="H18" i="6" s="1"/>
  <c r="J18" i="6" s="1"/>
  <c r="F17" i="6"/>
  <c r="H17" i="6" s="1"/>
  <c r="J17" i="6" s="1"/>
  <c r="F16" i="6"/>
  <c r="H16" i="6" s="1"/>
  <c r="J16" i="6" s="1"/>
  <c r="F15" i="6"/>
  <c r="H15" i="6" s="1"/>
  <c r="J15" i="6" s="1"/>
  <c r="F14" i="6"/>
  <c r="H14" i="6" s="1"/>
  <c r="J14" i="6" s="1"/>
  <c r="F13" i="6"/>
  <c r="H13" i="6" s="1"/>
  <c r="J13" i="6" s="1"/>
  <c r="F12" i="6"/>
  <c r="H12" i="6" s="1"/>
  <c r="J12" i="6" s="1"/>
  <c r="F11" i="6"/>
  <c r="H11" i="6" s="1"/>
  <c r="F10" i="6"/>
  <c r="H10" i="6" s="1"/>
  <c r="G27" i="7"/>
  <c r="F25" i="7"/>
  <c r="H25" i="7" s="1"/>
  <c r="J25" i="7" s="1"/>
  <c r="F24" i="7"/>
  <c r="H24" i="7" s="1"/>
  <c r="J24" i="7" s="1"/>
  <c r="F23" i="7"/>
  <c r="H23" i="7" s="1"/>
  <c r="J23" i="7" s="1"/>
  <c r="F22" i="7"/>
  <c r="H22" i="7" s="1"/>
  <c r="J22" i="7" s="1"/>
  <c r="F21" i="7"/>
  <c r="H21" i="7" s="1"/>
  <c r="J21" i="7" s="1"/>
  <c r="F20" i="7"/>
  <c r="G19" i="7"/>
  <c r="E19" i="7"/>
  <c r="D19" i="7"/>
  <c r="F18" i="7"/>
  <c r="H18" i="7" s="1"/>
  <c r="J18" i="7" s="1"/>
  <c r="F17" i="7"/>
  <c r="H17" i="7" s="1"/>
  <c r="J17" i="7" s="1"/>
  <c r="F16" i="7"/>
  <c r="H16" i="7" s="1"/>
  <c r="J16" i="7" s="1"/>
  <c r="F15" i="7"/>
  <c r="H15" i="7" s="1"/>
  <c r="J15" i="7" s="1"/>
  <c r="F14" i="7"/>
  <c r="H14" i="7" s="1"/>
  <c r="J14" i="7" s="1"/>
  <c r="F13" i="7"/>
  <c r="H13" i="7" s="1"/>
  <c r="J13" i="7" s="1"/>
  <c r="F12" i="7"/>
  <c r="H12" i="7" s="1"/>
  <c r="J12" i="7" s="1"/>
  <c r="F11" i="7"/>
  <c r="H11" i="7" s="1"/>
  <c r="J11" i="7" s="1"/>
  <c r="F10" i="7"/>
  <c r="H10" i="7" s="1"/>
  <c r="G176" i="5"/>
  <c r="E176" i="5"/>
  <c r="D176" i="5"/>
  <c r="F173" i="5"/>
  <c r="H173" i="5" s="1"/>
  <c r="J173" i="5" s="1"/>
  <c r="F172" i="5"/>
  <c r="H172" i="5" s="1"/>
  <c r="J172" i="5" s="1"/>
  <c r="F171" i="5"/>
  <c r="H171" i="5" s="1"/>
  <c r="J171" i="5" s="1"/>
  <c r="F170" i="5"/>
  <c r="H170" i="5" s="1"/>
  <c r="F169" i="5"/>
  <c r="E168" i="5"/>
  <c r="D168" i="5"/>
  <c r="F167" i="5"/>
  <c r="H167" i="5" s="1"/>
  <c r="J167" i="5" s="1"/>
  <c r="F166" i="5"/>
  <c r="H166" i="5" s="1"/>
  <c r="J166" i="5" s="1"/>
  <c r="F165" i="5"/>
  <c r="H165" i="5" s="1"/>
  <c r="J165" i="5" s="1"/>
  <c r="F164" i="5"/>
  <c r="H164" i="5" s="1"/>
  <c r="J164" i="5" s="1"/>
  <c r="F163" i="5"/>
  <c r="H163" i="5" s="1"/>
  <c r="J163" i="5" s="1"/>
  <c r="F162" i="5"/>
  <c r="H162" i="5" s="1"/>
  <c r="J162" i="5" s="1"/>
  <c r="F161" i="5"/>
  <c r="H161" i="5" s="1"/>
  <c r="J161" i="5" s="1"/>
  <c r="F160" i="5"/>
  <c r="H160" i="5" s="1"/>
  <c r="J160" i="5" s="1"/>
  <c r="G168" i="5"/>
  <c r="F159" i="5"/>
  <c r="H159" i="5" s="1"/>
  <c r="G146" i="5"/>
  <c r="E146" i="5"/>
  <c r="D146" i="5"/>
  <c r="H145" i="5"/>
  <c r="J145" i="5" s="1"/>
  <c r="F144" i="5"/>
  <c r="H144" i="5" s="1"/>
  <c r="J144" i="5" s="1"/>
  <c r="F143" i="5"/>
  <c r="H143" i="5" s="1"/>
  <c r="J143" i="5" s="1"/>
  <c r="F142" i="5"/>
  <c r="H142" i="5" s="1"/>
  <c r="J142" i="5" s="1"/>
  <c r="F141" i="5"/>
  <c r="H141" i="5" s="1"/>
  <c r="F140" i="5"/>
  <c r="H140" i="5" s="1"/>
  <c r="J140" i="5" s="1"/>
  <c r="E139" i="5"/>
  <c r="D139" i="5"/>
  <c r="F138" i="5"/>
  <c r="H138" i="5" s="1"/>
  <c r="J138" i="5" s="1"/>
  <c r="F137" i="5"/>
  <c r="H137" i="5" s="1"/>
  <c r="J137" i="5" s="1"/>
  <c r="F136" i="5"/>
  <c r="H136" i="5" s="1"/>
  <c r="J136" i="5" s="1"/>
  <c r="F135" i="5"/>
  <c r="H135" i="5" s="1"/>
  <c r="J135" i="5" s="1"/>
  <c r="F134" i="5"/>
  <c r="H134" i="5" s="1"/>
  <c r="J134" i="5" s="1"/>
  <c r="F133" i="5"/>
  <c r="H133" i="5" s="1"/>
  <c r="J133" i="5" s="1"/>
  <c r="F132" i="5"/>
  <c r="H132" i="5" s="1"/>
  <c r="J132" i="5" s="1"/>
  <c r="F131" i="5"/>
  <c r="H131" i="5" s="1"/>
  <c r="J131" i="5" s="1"/>
  <c r="G139" i="5"/>
  <c r="F130" i="5"/>
  <c r="H130" i="5" s="1"/>
  <c r="G117" i="5"/>
  <c r="E117" i="5"/>
  <c r="D117" i="5"/>
  <c r="F116" i="5"/>
  <c r="H116" i="5" s="1"/>
  <c r="J116" i="5" s="1"/>
  <c r="F115" i="5"/>
  <c r="H115" i="5" s="1"/>
  <c r="J115" i="5" s="1"/>
  <c r="F114" i="5"/>
  <c r="H114" i="5" s="1"/>
  <c r="J114" i="5" s="1"/>
  <c r="F112" i="5"/>
  <c r="H112" i="5" s="1"/>
  <c r="J112" i="5" s="1"/>
  <c r="F111" i="5"/>
  <c r="H111" i="5" s="1"/>
  <c r="F110" i="5"/>
  <c r="E109" i="5"/>
  <c r="D109" i="5"/>
  <c r="F108" i="5"/>
  <c r="H108" i="5" s="1"/>
  <c r="J108" i="5" s="1"/>
  <c r="F107" i="5"/>
  <c r="H107" i="5" s="1"/>
  <c r="J107" i="5" s="1"/>
  <c r="F106" i="5"/>
  <c r="H106" i="5" s="1"/>
  <c r="J106" i="5" s="1"/>
  <c r="F105" i="5"/>
  <c r="H105" i="5" s="1"/>
  <c r="J105" i="5" s="1"/>
  <c r="F104" i="5"/>
  <c r="H104" i="5" s="1"/>
  <c r="J104" i="5" s="1"/>
  <c r="F103" i="5"/>
  <c r="H103" i="5" s="1"/>
  <c r="J103" i="5" s="1"/>
  <c r="F102" i="5"/>
  <c r="H102" i="5" s="1"/>
  <c r="J102" i="5" s="1"/>
  <c r="F101" i="5"/>
  <c r="H101" i="5" s="1"/>
  <c r="J101" i="5" s="1"/>
  <c r="G109" i="5"/>
  <c r="F100" i="5"/>
  <c r="H100" i="5" s="1"/>
  <c r="G87" i="5"/>
  <c r="E87" i="5"/>
  <c r="D87" i="5"/>
  <c r="H86" i="5"/>
  <c r="J86" i="5" s="1"/>
  <c r="H85" i="5"/>
  <c r="J85" i="5" s="1"/>
  <c r="H84" i="5"/>
  <c r="J84" i="5" s="1"/>
  <c r="H82" i="5"/>
  <c r="J82" i="5" s="1"/>
  <c r="H81" i="5"/>
  <c r="H80" i="5"/>
  <c r="J80" i="5" s="1"/>
  <c r="E79" i="5"/>
  <c r="D79" i="5"/>
  <c r="H78" i="5"/>
  <c r="J78" i="5" s="1"/>
  <c r="H77" i="5"/>
  <c r="J77" i="5" s="1"/>
  <c r="F76" i="5"/>
  <c r="H76" i="5" s="1"/>
  <c r="J76" i="5" s="1"/>
  <c r="F75" i="5"/>
  <c r="H75" i="5" s="1"/>
  <c r="J75" i="5" s="1"/>
  <c r="F74" i="5"/>
  <c r="H74" i="5" s="1"/>
  <c r="J74" i="5" s="1"/>
  <c r="F73" i="5"/>
  <c r="H73" i="5" s="1"/>
  <c r="J73" i="5" s="1"/>
  <c r="F72" i="5"/>
  <c r="H72" i="5" s="1"/>
  <c r="J72" i="5" s="1"/>
  <c r="F71" i="5"/>
  <c r="H71" i="5" s="1"/>
  <c r="J71" i="5" s="1"/>
  <c r="G79" i="5"/>
  <c r="F70" i="5"/>
  <c r="G57" i="5"/>
  <c r="E57" i="5"/>
  <c r="D57" i="5"/>
  <c r="F56" i="5"/>
  <c r="H56" i="5" s="1"/>
  <c r="J56" i="5" s="1"/>
  <c r="F55" i="5"/>
  <c r="H55" i="5" s="1"/>
  <c r="J55" i="5" s="1"/>
  <c r="F54" i="5"/>
  <c r="H54" i="5" s="1"/>
  <c r="J54" i="5" s="1"/>
  <c r="F52" i="5"/>
  <c r="H52" i="5" s="1"/>
  <c r="J52" i="5" s="1"/>
  <c r="F51" i="5"/>
  <c r="H51" i="5" s="1"/>
  <c r="F50" i="5"/>
  <c r="E49" i="5"/>
  <c r="D49" i="5"/>
  <c r="F48" i="5"/>
  <c r="H48" i="5" s="1"/>
  <c r="J48" i="5" s="1"/>
  <c r="F47" i="5"/>
  <c r="H47" i="5" s="1"/>
  <c r="J47" i="5" s="1"/>
  <c r="F46" i="5"/>
  <c r="H46" i="5" s="1"/>
  <c r="J46" i="5" s="1"/>
  <c r="F45" i="5"/>
  <c r="H45" i="5" s="1"/>
  <c r="J45" i="5" s="1"/>
  <c r="F44" i="5"/>
  <c r="H44" i="5" s="1"/>
  <c r="J44" i="5" s="1"/>
  <c r="F43" i="5"/>
  <c r="H43" i="5" s="1"/>
  <c r="J43" i="5" s="1"/>
  <c r="F42" i="5"/>
  <c r="H42" i="5" s="1"/>
  <c r="J42" i="5" s="1"/>
  <c r="F41" i="5"/>
  <c r="H41" i="5" s="1"/>
  <c r="J41" i="5" s="1"/>
  <c r="G49" i="5"/>
  <c r="F40" i="5"/>
  <c r="H40" i="5" s="1"/>
  <c r="G27" i="5"/>
  <c r="E27" i="5"/>
  <c r="D27" i="5"/>
  <c r="F26" i="5"/>
  <c r="H26" i="5" s="1"/>
  <c r="J26" i="5" s="1"/>
  <c r="F25" i="5"/>
  <c r="H25" i="5" s="1"/>
  <c r="J25" i="5" s="1"/>
  <c r="F23" i="5"/>
  <c r="H23" i="5" s="1"/>
  <c r="J23" i="5" s="1"/>
  <c r="F22" i="5"/>
  <c r="H22" i="5" s="1"/>
  <c r="J22" i="5" s="1"/>
  <c r="F21" i="5"/>
  <c r="H21" i="5" s="1"/>
  <c r="F20" i="5"/>
  <c r="H20" i="5" s="1"/>
  <c r="J20" i="5" s="1"/>
  <c r="E19" i="5"/>
  <c r="F18" i="5"/>
  <c r="H18" i="5" s="1"/>
  <c r="J18" i="5" s="1"/>
  <c r="F17" i="5"/>
  <c r="H17" i="5" s="1"/>
  <c r="J17" i="5" s="1"/>
  <c r="F16" i="5"/>
  <c r="H16" i="5" s="1"/>
  <c r="J16" i="5" s="1"/>
  <c r="F15" i="5"/>
  <c r="H15" i="5" s="1"/>
  <c r="J15" i="5" s="1"/>
  <c r="F14" i="5"/>
  <c r="H14" i="5" s="1"/>
  <c r="J14" i="5" s="1"/>
  <c r="F13" i="5"/>
  <c r="H13" i="5" s="1"/>
  <c r="J13" i="5" s="1"/>
  <c r="F12" i="5"/>
  <c r="H12" i="5" s="1"/>
  <c r="J12" i="5" s="1"/>
  <c r="F11" i="5"/>
  <c r="H11" i="5" s="1"/>
  <c r="F10" i="5"/>
  <c r="H10" i="5" s="1"/>
  <c r="G225" i="4"/>
  <c r="I225" i="4" s="1"/>
  <c r="K225" i="4" s="1"/>
  <c r="G224" i="4"/>
  <c r="I224" i="4" s="1"/>
  <c r="K224" i="4" s="1"/>
  <c r="G223" i="4"/>
  <c r="I223" i="4" s="1"/>
  <c r="K223" i="4" s="1"/>
  <c r="G222" i="4"/>
  <c r="G221" i="4"/>
  <c r="I221" i="4" s="1"/>
  <c r="K221" i="4" s="1"/>
  <c r="G220" i="4"/>
  <c r="I220" i="4" s="1"/>
  <c r="F219" i="4"/>
  <c r="E219" i="4"/>
  <c r="G218" i="4"/>
  <c r="I218" i="4" s="1"/>
  <c r="K218" i="4" s="1"/>
  <c r="G217" i="4"/>
  <c r="I217" i="4" s="1"/>
  <c r="K217" i="4" s="1"/>
  <c r="G216" i="4"/>
  <c r="I216" i="4" s="1"/>
  <c r="K216" i="4" s="1"/>
  <c r="G215" i="4"/>
  <c r="I215" i="4" s="1"/>
  <c r="K215" i="4" s="1"/>
  <c r="G214" i="4"/>
  <c r="I214" i="4" s="1"/>
  <c r="K214" i="4" s="1"/>
  <c r="G213" i="4"/>
  <c r="I213" i="4" s="1"/>
  <c r="K213" i="4" s="1"/>
  <c r="G212" i="4"/>
  <c r="I212" i="4" s="1"/>
  <c r="K212" i="4" s="1"/>
  <c r="G211" i="4"/>
  <c r="I211" i="4" s="1"/>
  <c r="K211" i="4" s="1"/>
  <c r="H219" i="4"/>
  <c r="G210" i="4"/>
  <c r="I210" i="4" s="1"/>
  <c r="G195" i="4"/>
  <c r="I195" i="4" s="1"/>
  <c r="K195" i="4" s="1"/>
  <c r="G194" i="4"/>
  <c r="I194" i="4" s="1"/>
  <c r="K194" i="4" s="1"/>
  <c r="G192" i="4"/>
  <c r="I192" i="4" s="1"/>
  <c r="K192" i="4" s="1"/>
  <c r="G191" i="4"/>
  <c r="G190" i="4"/>
  <c r="I190" i="4" s="1"/>
  <c r="F189" i="4"/>
  <c r="E189" i="4"/>
  <c r="G188" i="4"/>
  <c r="I188" i="4" s="1"/>
  <c r="K188" i="4" s="1"/>
  <c r="G187" i="4"/>
  <c r="I187" i="4" s="1"/>
  <c r="K187" i="4" s="1"/>
  <c r="G186" i="4"/>
  <c r="I186" i="4" s="1"/>
  <c r="K186" i="4" s="1"/>
  <c r="G185" i="4"/>
  <c r="I185" i="4" s="1"/>
  <c r="K185" i="4" s="1"/>
  <c r="G184" i="4"/>
  <c r="I184" i="4" s="1"/>
  <c r="K184" i="4" s="1"/>
  <c r="G183" i="4"/>
  <c r="I183" i="4" s="1"/>
  <c r="K183" i="4" s="1"/>
  <c r="G182" i="4"/>
  <c r="I182" i="4" s="1"/>
  <c r="K182" i="4" s="1"/>
  <c r="G181" i="4"/>
  <c r="I181" i="4" s="1"/>
  <c r="K181" i="4" s="1"/>
  <c r="H189" i="4"/>
  <c r="G180" i="4"/>
  <c r="I180" i="4" s="1"/>
  <c r="G162" i="4"/>
  <c r="I162" i="4" s="1"/>
  <c r="K162" i="4" s="1"/>
  <c r="G161" i="4"/>
  <c r="I161" i="4" s="1"/>
  <c r="K161" i="4" s="1"/>
  <c r="G160" i="4"/>
  <c r="I160" i="4" s="1"/>
  <c r="K160" i="4" s="1"/>
  <c r="G159" i="4"/>
  <c r="I159" i="4" s="1"/>
  <c r="K159" i="4" s="1"/>
  <c r="G158" i="4"/>
  <c r="I158" i="4" s="1"/>
  <c r="K158" i="4" s="1"/>
  <c r="G157" i="4"/>
  <c r="F156" i="4"/>
  <c r="E156" i="4"/>
  <c r="G155" i="4"/>
  <c r="I155" i="4" s="1"/>
  <c r="K155" i="4" s="1"/>
  <c r="G154" i="4"/>
  <c r="I154" i="4" s="1"/>
  <c r="K154" i="4" s="1"/>
  <c r="G153" i="4"/>
  <c r="I153" i="4" s="1"/>
  <c r="K153" i="4" s="1"/>
  <c r="G152" i="4"/>
  <c r="I152" i="4" s="1"/>
  <c r="K152" i="4" s="1"/>
  <c r="G151" i="4"/>
  <c r="I151" i="4" s="1"/>
  <c r="K151" i="4" s="1"/>
  <c r="G150" i="4"/>
  <c r="I150" i="4" s="1"/>
  <c r="K150" i="4" s="1"/>
  <c r="G149" i="4"/>
  <c r="I149" i="4" s="1"/>
  <c r="K149" i="4" s="1"/>
  <c r="G148" i="4"/>
  <c r="I148" i="4" s="1"/>
  <c r="K148" i="4" s="1"/>
  <c r="H156" i="4"/>
  <c r="G147" i="4"/>
  <c r="I147" i="4" s="1"/>
  <c r="G129" i="4"/>
  <c r="I129" i="4" s="1"/>
  <c r="K129" i="4" s="1"/>
  <c r="G128" i="4"/>
  <c r="I128" i="4" s="1"/>
  <c r="K128" i="4" s="1"/>
  <c r="G127" i="4"/>
  <c r="I127" i="4" s="1"/>
  <c r="K127" i="4" s="1"/>
  <c r="G126" i="4"/>
  <c r="I126" i="4" s="1"/>
  <c r="K126" i="4" s="1"/>
  <c r="G125" i="4"/>
  <c r="G124" i="4"/>
  <c r="F123" i="4"/>
  <c r="E123" i="4"/>
  <c r="G122" i="4"/>
  <c r="I122" i="4" s="1"/>
  <c r="K122" i="4" s="1"/>
  <c r="G121" i="4"/>
  <c r="I121" i="4" s="1"/>
  <c r="K121" i="4" s="1"/>
  <c r="G120" i="4"/>
  <c r="I120" i="4" s="1"/>
  <c r="K120" i="4" s="1"/>
  <c r="G119" i="4"/>
  <c r="I119" i="4" s="1"/>
  <c r="K119" i="4" s="1"/>
  <c r="G118" i="4"/>
  <c r="I118" i="4" s="1"/>
  <c r="K118" i="4" s="1"/>
  <c r="G117" i="4"/>
  <c r="I117" i="4" s="1"/>
  <c r="K117" i="4" s="1"/>
  <c r="G116" i="4"/>
  <c r="I116" i="4" s="1"/>
  <c r="K116" i="4" s="1"/>
  <c r="G115" i="4"/>
  <c r="I115" i="4" s="1"/>
  <c r="K115" i="4" s="1"/>
  <c r="H123" i="4"/>
  <c r="G114" i="4"/>
  <c r="I114" i="4" s="1"/>
  <c r="H94" i="4"/>
  <c r="F94" i="4"/>
  <c r="E94" i="4"/>
  <c r="G93" i="4"/>
  <c r="I93" i="4" s="1"/>
  <c r="K93" i="4" s="1"/>
  <c r="G92" i="4"/>
  <c r="I92" i="4" s="1"/>
  <c r="K92" i="4" s="1"/>
  <c r="G91" i="4"/>
  <c r="I91" i="4" s="1"/>
  <c r="K91" i="4" s="1"/>
  <c r="G89" i="4"/>
  <c r="I89" i="4" s="1"/>
  <c r="K89" i="4" s="1"/>
  <c r="G88" i="4"/>
  <c r="I88" i="4" s="1"/>
  <c r="K88" i="4" s="1"/>
  <c r="G87" i="4"/>
  <c r="I87" i="4" s="1"/>
  <c r="F86" i="4"/>
  <c r="G85" i="4"/>
  <c r="I85" i="4" s="1"/>
  <c r="K85" i="4" s="1"/>
  <c r="G84" i="4"/>
  <c r="I84" i="4" s="1"/>
  <c r="K84" i="4" s="1"/>
  <c r="G83" i="4"/>
  <c r="I83" i="4" s="1"/>
  <c r="K83" i="4" s="1"/>
  <c r="G82" i="4"/>
  <c r="I82" i="4" s="1"/>
  <c r="K82" i="4" s="1"/>
  <c r="G81" i="4"/>
  <c r="I81" i="4" s="1"/>
  <c r="K81" i="4" s="1"/>
  <c r="G80" i="4"/>
  <c r="I80" i="4" s="1"/>
  <c r="K80" i="4" s="1"/>
  <c r="G79" i="4"/>
  <c r="I79" i="4" s="1"/>
  <c r="K79" i="4" s="1"/>
  <c r="G78" i="4"/>
  <c r="I78" i="4" s="1"/>
  <c r="K78" i="4" s="1"/>
  <c r="H86" i="4"/>
  <c r="G58" i="4"/>
  <c r="I58" i="4" s="1"/>
  <c r="K58" i="4" s="1"/>
  <c r="G57" i="4"/>
  <c r="I57" i="4" s="1"/>
  <c r="K57" i="4" s="1"/>
  <c r="G56" i="4"/>
  <c r="I56" i="4" s="1"/>
  <c r="K56" i="4" s="1"/>
  <c r="G55" i="4"/>
  <c r="I55" i="4" s="1"/>
  <c r="K55" i="4" s="1"/>
  <c r="G54" i="4"/>
  <c r="I54" i="4" s="1"/>
  <c r="K54" i="4" s="1"/>
  <c r="G53" i="4"/>
  <c r="F52" i="4"/>
  <c r="E52" i="4"/>
  <c r="G51" i="4"/>
  <c r="I51" i="4" s="1"/>
  <c r="K51" i="4" s="1"/>
  <c r="G50" i="4"/>
  <c r="I50" i="4" s="1"/>
  <c r="K50" i="4" s="1"/>
  <c r="G49" i="4"/>
  <c r="I49" i="4" s="1"/>
  <c r="K49" i="4" s="1"/>
  <c r="G48" i="4"/>
  <c r="I48" i="4" s="1"/>
  <c r="K48" i="4" s="1"/>
  <c r="G47" i="4"/>
  <c r="I47" i="4" s="1"/>
  <c r="K47" i="4" s="1"/>
  <c r="G46" i="4"/>
  <c r="I46" i="4" s="1"/>
  <c r="K46" i="4" s="1"/>
  <c r="G45" i="4"/>
  <c r="I45" i="4" s="1"/>
  <c r="K45" i="4" s="1"/>
  <c r="G44" i="4"/>
  <c r="I44" i="4" s="1"/>
  <c r="K44" i="4" s="1"/>
  <c r="H52" i="4"/>
  <c r="G43" i="4"/>
  <c r="I43" i="4" s="1"/>
  <c r="G25" i="4"/>
  <c r="I25" i="4" s="1"/>
  <c r="K25" i="4" s="1"/>
  <c r="G24" i="4"/>
  <c r="G23" i="4"/>
  <c r="I23" i="4" s="1"/>
  <c r="K23" i="4" s="1"/>
  <c r="G22" i="4"/>
  <c r="I22" i="4" s="1"/>
  <c r="K22" i="4" s="1"/>
  <c r="G21" i="4"/>
  <c r="I21" i="4" s="1"/>
  <c r="K21" i="4" s="1"/>
  <c r="G20" i="4"/>
  <c r="I20" i="4" s="1"/>
  <c r="F19" i="4"/>
  <c r="E19" i="4"/>
  <c r="G18" i="4"/>
  <c r="I18" i="4" s="1"/>
  <c r="K18" i="4" s="1"/>
  <c r="G17" i="4"/>
  <c r="G16" i="4"/>
  <c r="I16" i="4" s="1"/>
  <c r="K16" i="4" s="1"/>
  <c r="G15" i="4"/>
  <c r="I15" i="4" s="1"/>
  <c r="K15" i="4" s="1"/>
  <c r="G14" i="4"/>
  <c r="I14" i="4" s="1"/>
  <c r="K14" i="4" s="1"/>
  <c r="G13" i="4"/>
  <c r="I13" i="4" s="1"/>
  <c r="K13" i="4" s="1"/>
  <c r="G12" i="4"/>
  <c r="I12" i="4" s="1"/>
  <c r="K12" i="4" s="1"/>
  <c r="G11" i="4"/>
  <c r="I11" i="4" s="1"/>
  <c r="K11" i="4" s="1"/>
  <c r="H19" i="4"/>
  <c r="G87" i="2"/>
  <c r="G80" i="2"/>
  <c r="G58" i="2"/>
  <c r="G51" i="2"/>
  <c r="G59" i="3"/>
  <c r="G52" i="3"/>
  <c r="G27" i="3"/>
  <c r="E59" i="3"/>
  <c r="D59" i="3"/>
  <c r="E27" i="3"/>
  <c r="D27" i="3"/>
  <c r="F58" i="3"/>
  <c r="H58" i="3" s="1"/>
  <c r="F26" i="3"/>
  <c r="H26" i="3" s="1"/>
  <c r="F57" i="3"/>
  <c r="H57" i="3" s="1"/>
  <c r="F25" i="3"/>
  <c r="H25" i="3" s="1"/>
  <c r="F56" i="3"/>
  <c r="F24" i="3"/>
  <c r="H24" i="3" s="1"/>
  <c r="F55" i="3"/>
  <c r="H55" i="3" s="1"/>
  <c r="F23" i="3"/>
  <c r="H23" i="3" s="1"/>
  <c r="F54" i="3"/>
  <c r="H54" i="3" s="1"/>
  <c r="F22" i="3"/>
  <c r="H22" i="3" s="1"/>
  <c r="F53" i="3"/>
  <c r="H53" i="3" s="1"/>
  <c r="F21" i="3"/>
  <c r="H21" i="3" s="1"/>
  <c r="E52" i="3"/>
  <c r="E20" i="3"/>
  <c r="F51" i="3"/>
  <c r="F19" i="3"/>
  <c r="H19" i="3" s="1"/>
  <c r="F50" i="3"/>
  <c r="H50" i="3" s="1"/>
  <c r="J50" i="3" s="1"/>
  <c r="F18" i="3"/>
  <c r="H18" i="3" s="1"/>
  <c r="F49" i="3"/>
  <c r="H49" i="3" s="1"/>
  <c r="F17" i="3"/>
  <c r="H17" i="3" s="1"/>
  <c r="F48" i="3"/>
  <c r="H48" i="3" s="1"/>
  <c r="F16" i="3"/>
  <c r="H16" i="3" s="1"/>
  <c r="F47" i="3"/>
  <c r="H47" i="3" s="1"/>
  <c r="F15" i="3"/>
  <c r="H15" i="3" s="1"/>
  <c r="F46" i="3"/>
  <c r="F14" i="3"/>
  <c r="H14" i="3" s="1"/>
  <c r="F45" i="3"/>
  <c r="H45" i="3" s="1"/>
  <c r="F13" i="3"/>
  <c r="H13" i="3" s="1"/>
  <c r="F44" i="3"/>
  <c r="H44" i="3" s="1"/>
  <c r="F12" i="3"/>
  <c r="H12" i="3" s="1"/>
  <c r="G20" i="3"/>
  <c r="F43" i="3"/>
  <c r="H43" i="3" s="1"/>
  <c r="F11" i="3"/>
  <c r="H11" i="3" s="1"/>
  <c r="G20" i="2"/>
  <c r="H57" i="2"/>
  <c r="J57" i="2" s="1"/>
  <c r="H56" i="2"/>
  <c r="J56" i="2" s="1"/>
  <c r="H55" i="2"/>
  <c r="J55" i="2" s="1"/>
  <c r="H54" i="2"/>
  <c r="J54" i="2" s="1"/>
  <c r="H53" i="2"/>
  <c r="J53" i="2" s="1"/>
  <c r="H52" i="2"/>
  <c r="H86" i="2"/>
  <c r="J86" i="2" s="1"/>
  <c r="H85" i="2"/>
  <c r="J85" i="2" s="1"/>
  <c r="H84" i="2"/>
  <c r="J84" i="2" s="1"/>
  <c r="H83" i="2"/>
  <c r="J83" i="2" s="1"/>
  <c r="H82" i="2"/>
  <c r="J82" i="2" s="1"/>
  <c r="H81" i="2"/>
  <c r="J81" i="2" s="1"/>
  <c r="H26" i="2"/>
  <c r="H25" i="2"/>
  <c r="H24" i="2"/>
  <c r="H23" i="2"/>
  <c r="H22" i="2"/>
  <c r="H21" i="2"/>
  <c r="H50" i="2"/>
  <c r="J50" i="2" s="1"/>
  <c r="H49" i="2"/>
  <c r="J49" i="2" s="1"/>
  <c r="H48" i="2"/>
  <c r="J48" i="2" s="1"/>
  <c r="H47" i="2"/>
  <c r="J47" i="2" s="1"/>
  <c r="H46" i="2"/>
  <c r="J46" i="2" s="1"/>
  <c r="H45" i="2"/>
  <c r="J45" i="2" s="1"/>
  <c r="H44" i="2"/>
  <c r="J44" i="2" s="1"/>
  <c r="H43" i="2"/>
  <c r="J43" i="2" s="1"/>
  <c r="H79" i="2"/>
  <c r="J79" i="2" s="1"/>
  <c r="H78" i="2"/>
  <c r="J78" i="2" s="1"/>
  <c r="H77" i="2"/>
  <c r="J77" i="2" s="1"/>
  <c r="H76" i="2"/>
  <c r="J76" i="2" s="1"/>
  <c r="H75" i="2"/>
  <c r="J75" i="2" s="1"/>
  <c r="H74" i="2"/>
  <c r="J74" i="2" s="1"/>
  <c r="H73" i="2"/>
  <c r="J73" i="2" s="1"/>
  <c r="H72" i="2"/>
  <c r="J72" i="2" s="1"/>
  <c r="H71" i="2"/>
  <c r="H13" i="2"/>
  <c r="H14" i="2"/>
  <c r="H15" i="2"/>
  <c r="H16" i="2"/>
  <c r="H17" i="2"/>
  <c r="H18" i="2"/>
  <c r="H19" i="2"/>
  <c r="E27" i="2"/>
  <c r="D27" i="2"/>
  <c r="D87" i="2"/>
  <c r="D58" i="2"/>
  <c r="G27" i="2"/>
  <c r="D51" i="2"/>
  <c r="D80" i="2"/>
  <c r="H70" i="5" l="1"/>
  <c r="F79" i="5"/>
  <c r="F88" i="5" s="1"/>
  <c r="H42" i="2"/>
  <c r="J42" i="2" s="1"/>
  <c r="G19" i="4"/>
  <c r="H109" i="5"/>
  <c r="H165" i="4"/>
  <c r="G131" i="4"/>
  <c r="I125" i="4"/>
  <c r="K125" i="4" s="1"/>
  <c r="K196" i="4"/>
  <c r="H20" i="3"/>
  <c r="J20" i="3" s="1"/>
  <c r="K226" i="4"/>
  <c r="J10" i="7"/>
  <c r="J11" i="5"/>
  <c r="F132" i="4"/>
  <c r="E177" i="5"/>
  <c r="D177" i="5"/>
  <c r="G177" i="5"/>
  <c r="F165" i="4"/>
  <c r="F95" i="4"/>
  <c r="F61" i="4"/>
  <c r="J23" i="6"/>
  <c r="F26" i="6"/>
  <c r="E27" i="6"/>
  <c r="D28" i="7"/>
  <c r="D27" i="6"/>
  <c r="F19" i="6"/>
  <c r="J10" i="6"/>
  <c r="G27" i="6"/>
  <c r="J11" i="6"/>
  <c r="H20" i="6"/>
  <c r="F27" i="7"/>
  <c r="G28" i="7"/>
  <c r="F19" i="7"/>
  <c r="E28" i="7"/>
  <c r="H19" i="7"/>
  <c r="J19" i="7" s="1"/>
  <c r="H20" i="7"/>
  <c r="E28" i="5"/>
  <c r="F57" i="5"/>
  <c r="F19" i="5"/>
  <c r="G58" i="5"/>
  <c r="G118" i="5"/>
  <c r="E88" i="5"/>
  <c r="E147" i="5"/>
  <c r="D147" i="5"/>
  <c r="D88" i="5"/>
  <c r="F117" i="5"/>
  <c r="F27" i="5"/>
  <c r="H50" i="5"/>
  <c r="J50" i="5" s="1"/>
  <c r="D58" i="5"/>
  <c r="E118" i="5"/>
  <c r="F109" i="5"/>
  <c r="H110" i="5"/>
  <c r="J110" i="5" s="1"/>
  <c r="D118" i="5"/>
  <c r="F168" i="5"/>
  <c r="F176" i="5"/>
  <c r="F49" i="5"/>
  <c r="G88" i="5"/>
  <c r="H169" i="5"/>
  <c r="J169" i="5" s="1"/>
  <c r="F139" i="5"/>
  <c r="D28" i="5"/>
  <c r="E58" i="5"/>
  <c r="G147" i="5"/>
  <c r="F146" i="5"/>
  <c r="J51" i="5"/>
  <c r="J21" i="5"/>
  <c r="H27" i="5"/>
  <c r="J81" i="5"/>
  <c r="H87" i="5"/>
  <c r="J87" i="5" s="1"/>
  <c r="J141" i="5"/>
  <c r="H146" i="5"/>
  <c r="J146" i="5" s="1"/>
  <c r="J111" i="5"/>
  <c r="J170" i="5"/>
  <c r="H198" i="4"/>
  <c r="H95" i="4"/>
  <c r="E228" i="4"/>
  <c r="E198" i="4"/>
  <c r="K10" i="4"/>
  <c r="E61" i="4"/>
  <c r="K147" i="4"/>
  <c r="G52" i="4"/>
  <c r="G123" i="4"/>
  <c r="G197" i="4"/>
  <c r="G164" i="4"/>
  <c r="I191" i="4"/>
  <c r="K191" i="4" s="1"/>
  <c r="K43" i="4"/>
  <c r="G60" i="4"/>
  <c r="E165" i="4"/>
  <c r="G219" i="4"/>
  <c r="G227" i="4"/>
  <c r="F228" i="4"/>
  <c r="H228" i="4"/>
  <c r="E132" i="4"/>
  <c r="G156" i="4"/>
  <c r="H61" i="4"/>
  <c r="G189" i="4"/>
  <c r="F198" i="4"/>
  <c r="K220" i="4"/>
  <c r="I222" i="4"/>
  <c r="K222" i="4" s="1"/>
  <c r="K190" i="4"/>
  <c r="I157" i="4"/>
  <c r="I164" i="4" s="1"/>
  <c r="K164" i="4" s="1"/>
  <c r="H132" i="4"/>
  <c r="I124" i="4"/>
  <c r="K87" i="4"/>
  <c r="I94" i="4"/>
  <c r="K94" i="4" s="1"/>
  <c r="G94" i="4"/>
  <c r="I53" i="4"/>
  <c r="I60" i="4" s="1"/>
  <c r="K60" i="4" s="1"/>
  <c r="F28" i="4"/>
  <c r="E28" i="4"/>
  <c r="H28" i="4"/>
  <c r="G27" i="4"/>
  <c r="K20" i="4"/>
  <c r="I17" i="4"/>
  <c r="K17" i="4" s="1"/>
  <c r="I24" i="4"/>
  <c r="K24" i="4" s="1"/>
  <c r="J47" i="3"/>
  <c r="H46" i="3"/>
  <c r="J46" i="3" s="1"/>
  <c r="J55" i="3"/>
  <c r="H51" i="3"/>
  <c r="J51" i="3" s="1"/>
  <c r="J43" i="3"/>
  <c r="H56" i="3"/>
  <c r="J56" i="3" s="1"/>
  <c r="H58" i="2"/>
  <c r="J58" i="2" s="1"/>
  <c r="J52" i="2"/>
  <c r="G59" i="2"/>
  <c r="H51" i="2"/>
  <c r="J51" i="2" s="1"/>
  <c r="G88" i="2"/>
  <c r="J71" i="2"/>
  <c r="H87" i="2"/>
  <c r="J87" i="2" s="1"/>
  <c r="H80" i="2"/>
  <c r="J80" i="2" s="1"/>
  <c r="J57" i="3"/>
  <c r="J58" i="3"/>
  <c r="J53" i="3"/>
  <c r="J45" i="3"/>
  <c r="J49" i="3"/>
  <c r="J48" i="3"/>
  <c r="G60" i="3"/>
  <c r="J54" i="3"/>
  <c r="J44" i="3"/>
  <c r="G28" i="3"/>
  <c r="J26" i="3"/>
  <c r="J17" i="3"/>
  <c r="J12" i="3"/>
  <c r="J25" i="3"/>
  <c r="J22" i="3"/>
  <c r="E28" i="3"/>
  <c r="J18" i="3"/>
  <c r="J16" i="3"/>
  <c r="E60" i="3"/>
  <c r="D60" i="3"/>
  <c r="J23" i="3"/>
  <c r="J13" i="3"/>
  <c r="J15" i="3"/>
  <c r="J14" i="3"/>
  <c r="J19" i="3"/>
  <c r="F59" i="3"/>
  <c r="J24" i="3"/>
  <c r="F20" i="3"/>
  <c r="D28" i="3"/>
  <c r="F27" i="3"/>
  <c r="D88" i="2"/>
  <c r="D28" i="2"/>
  <c r="D59" i="2"/>
  <c r="G28" i="2"/>
  <c r="F27" i="2"/>
  <c r="F52" i="3" l="1"/>
  <c r="F60" i="3" s="1"/>
  <c r="I131" i="4"/>
  <c r="K131" i="4" s="1"/>
  <c r="J27" i="5"/>
  <c r="I227" i="4"/>
  <c r="K227" i="4" s="1"/>
  <c r="I197" i="4"/>
  <c r="K197" i="4" s="1"/>
  <c r="I27" i="4"/>
  <c r="H52" i="3"/>
  <c r="F28" i="5"/>
  <c r="H57" i="5"/>
  <c r="J57" i="5" s="1"/>
  <c r="F147" i="5"/>
  <c r="G228" i="4"/>
  <c r="G198" i="4"/>
  <c r="I156" i="4"/>
  <c r="K156" i="4" s="1"/>
  <c r="F27" i="6"/>
  <c r="H19" i="6"/>
  <c r="J19" i="6" s="1"/>
  <c r="J20" i="6"/>
  <c r="H26" i="6"/>
  <c r="F28" i="7"/>
  <c r="J20" i="7"/>
  <c r="H27" i="7"/>
  <c r="J27" i="7" s="1"/>
  <c r="F118" i="5"/>
  <c r="F58" i="5"/>
  <c r="F177" i="5"/>
  <c r="H176" i="5"/>
  <c r="J176" i="5" s="1"/>
  <c r="H117" i="5"/>
  <c r="J117" i="5" s="1"/>
  <c r="J100" i="5"/>
  <c r="J109" i="5"/>
  <c r="J70" i="5"/>
  <c r="H79" i="5"/>
  <c r="J79" i="5" s="1"/>
  <c r="H139" i="5"/>
  <c r="J139" i="5" s="1"/>
  <c r="J130" i="5"/>
  <c r="H49" i="5"/>
  <c r="J40" i="5"/>
  <c r="H168" i="5"/>
  <c r="J168" i="5" s="1"/>
  <c r="J159" i="5"/>
  <c r="G165" i="4"/>
  <c r="I19" i="4"/>
  <c r="G132" i="4"/>
  <c r="G61" i="4"/>
  <c r="G28" i="4"/>
  <c r="I52" i="4"/>
  <c r="K52" i="4" s="1"/>
  <c r="I219" i="4"/>
  <c r="K219" i="4" s="1"/>
  <c r="K210" i="4"/>
  <c r="I189" i="4"/>
  <c r="K189" i="4" s="1"/>
  <c r="K180" i="4"/>
  <c r="K157" i="4"/>
  <c r="I123" i="4"/>
  <c r="K123" i="4" s="1"/>
  <c r="K114" i="4"/>
  <c r="K124" i="4"/>
  <c r="K53" i="4"/>
  <c r="H59" i="3"/>
  <c r="J59" i="3" s="1"/>
  <c r="J88" i="2"/>
  <c r="F27" i="1" s="1"/>
  <c r="I50" i="1" s="1"/>
  <c r="H88" i="2"/>
  <c r="J59" i="2"/>
  <c r="F28" i="1" s="1"/>
  <c r="I51" i="1" s="1"/>
  <c r="H59" i="2"/>
  <c r="F28" i="3"/>
  <c r="J21" i="3"/>
  <c r="H27" i="3"/>
  <c r="J26" i="6" l="1"/>
  <c r="J27" i="6" s="1"/>
  <c r="F45" i="1" s="1"/>
  <c r="I68" i="1" s="1"/>
  <c r="K27" i="4"/>
  <c r="N12" i="4" s="1"/>
  <c r="N15" i="4"/>
  <c r="O16" i="5"/>
  <c r="J49" i="5"/>
  <c r="J58" i="5" s="1"/>
  <c r="F39" i="1" s="1"/>
  <c r="I62" i="1" s="1"/>
  <c r="K19" i="4"/>
  <c r="J27" i="3"/>
  <c r="J28" i="3" s="1"/>
  <c r="E82" i="1"/>
  <c r="J52" i="3"/>
  <c r="E74" i="1" s="1"/>
  <c r="E81" i="1"/>
  <c r="O12" i="5"/>
  <c r="H27" i="6"/>
  <c r="G3" i="6" s="1"/>
  <c r="J28" i="7"/>
  <c r="H28" i="7"/>
  <c r="G3" i="7" s="1"/>
  <c r="H147" i="5"/>
  <c r="J147" i="5"/>
  <c r="F42" i="1" s="1"/>
  <c r="I65" i="1" s="1"/>
  <c r="H88" i="5"/>
  <c r="J88" i="5"/>
  <c r="F40" i="1" s="1"/>
  <c r="I63" i="1" s="1"/>
  <c r="H118" i="5"/>
  <c r="J118" i="5"/>
  <c r="F41" i="1" s="1"/>
  <c r="I64" i="1" s="1"/>
  <c r="H58" i="5"/>
  <c r="H177" i="5"/>
  <c r="J177" i="5"/>
  <c r="F43" i="1" s="1"/>
  <c r="I66" i="1" s="1"/>
  <c r="I28" i="4"/>
  <c r="I228" i="4"/>
  <c r="K228" i="4"/>
  <c r="F37" i="1" s="1"/>
  <c r="I60" i="1" s="1"/>
  <c r="I198" i="4"/>
  <c r="K198" i="4"/>
  <c r="F36" i="1" s="1"/>
  <c r="I59" i="1" s="1"/>
  <c r="K165" i="4"/>
  <c r="F35" i="1" s="1"/>
  <c r="I58" i="1" s="1"/>
  <c r="I165" i="4"/>
  <c r="I132" i="4"/>
  <c r="K132" i="4"/>
  <c r="F34" i="1" s="1"/>
  <c r="I57" i="1" s="1"/>
  <c r="K61" i="4"/>
  <c r="F32" i="1" s="1"/>
  <c r="I55" i="1" s="1"/>
  <c r="I61" i="4"/>
  <c r="H60" i="3"/>
  <c r="H28" i="3"/>
  <c r="J11" i="3"/>
  <c r="F75" i="1" l="1"/>
  <c r="F82" i="1"/>
  <c r="K28" i="4"/>
  <c r="F31" i="1" s="1"/>
  <c r="I54" i="1" s="1"/>
  <c r="E75" i="1"/>
  <c r="E76" i="1" s="1"/>
  <c r="E83" i="1"/>
  <c r="J60" i="3"/>
  <c r="F29" i="1" s="1"/>
  <c r="I52" i="1" s="1"/>
  <c r="G3" i="3"/>
  <c r="C20" i="1" s="1"/>
  <c r="G4" i="6"/>
  <c r="F30" i="1"/>
  <c r="I53" i="1" s="1"/>
  <c r="G4" i="7"/>
  <c r="F44" i="1"/>
  <c r="I67" i="1" s="1"/>
  <c r="G4" i="3" l="1"/>
  <c r="F50" i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E50" i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G2" i="5" l="1"/>
  <c r="H2" i="4" l="1"/>
  <c r="G2" i="3"/>
  <c r="G2" i="2"/>
  <c r="G49" i="1" l="1"/>
  <c r="H49" i="1" s="1"/>
  <c r="G50" i="1"/>
  <c r="H50" i="1" s="1"/>
  <c r="G51" i="1" l="1"/>
  <c r="H51" i="1" s="1"/>
  <c r="G52" i="1"/>
  <c r="H52" i="1" s="1"/>
  <c r="G53" i="1"/>
  <c r="H53" i="1" s="1"/>
  <c r="G54" i="1"/>
  <c r="H54" i="1" s="1"/>
  <c r="G55" i="1"/>
  <c r="H55" i="1" s="1"/>
  <c r="G56" i="1"/>
  <c r="H56" i="1" s="1"/>
  <c r="G57" i="1"/>
  <c r="H57" i="1" s="1"/>
  <c r="G58" i="1"/>
  <c r="H58" i="1" s="1"/>
  <c r="G59" i="1"/>
  <c r="H59" i="1" s="1"/>
  <c r="G60" i="1"/>
  <c r="H60" i="1" s="1"/>
  <c r="G61" i="1"/>
  <c r="H61" i="1" s="1"/>
  <c r="G62" i="1"/>
  <c r="H62" i="1" s="1"/>
  <c r="G63" i="1"/>
  <c r="H63" i="1" s="1"/>
  <c r="G64" i="1"/>
  <c r="H64" i="1" s="1"/>
  <c r="G65" i="1"/>
  <c r="H65" i="1" s="1"/>
  <c r="G66" i="1"/>
  <c r="H66" i="1" s="1"/>
  <c r="G67" i="1"/>
  <c r="H67" i="1" s="1"/>
  <c r="G68" i="1"/>
  <c r="H68" i="1" s="1"/>
  <c r="H69" i="1" l="1"/>
  <c r="C12" i="1" s="1"/>
  <c r="D69" i="1" l="1"/>
  <c r="J68" i="1" l="1"/>
  <c r="J60" i="1" l="1"/>
  <c r="J66" i="1"/>
  <c r="J59" i="1"/>
  <c r="J65" i="1"/>
  <c r="J64" i="1" l="1"/>
  <c r="J57" i="1"/>
  <c r="J67" i="1"/>
  <c r="J63" i="1" l="1"/>
  <c r="J62" i="1"/>
  <c r="J58" i="1"/>
  <c r="J55" i="1" l="1"/>
  <c r="C69" i="1"/>
  <c r="J54" i="1" l="1"/>
  <c r="J50" i="1" l="1"/>
  <c r="J53" i="1" l="1"/>
  <c r="J51" i="1"/>
  <c r="J52" i="1" l="1"/>
  <c r="E51" i="2" l="1"/>
  <c r="E58" i="2"/>
  <c r="F58" i="2"/>
  <c r="J13" i="2"/>
  <c r="J16" i="2"/>
  <c r="J15" i="2"/>
  <c r="F80" i="2"/>
  <c r="J18" i="2"/>
  <c r="J14" i="2"/>
  <c r="J17" i="2"/>
  <c r="E80" i="2"/>
  <c r="F59" i="2" l="1"/>
  <c r="E59" i="2"/>
  <c r="J12" i="2"/>
  <c r="J19" i="2"/>
  <c r="J25" i="2"/>
  <c r="J23" i="2"/>
  <c r="J24" i="2"/>
  <c r="J22" i="2"/>
  <c r="F87" i="2"/>
  <c r="F88" i="2" s="1"/>
  <c r="E87" i="2"/>
  <c r="E88" i="2" s="1"/>
  <c r="J26" i="2"/>
  <c r="H27" i="2" l="1"/>
  <c r="M25" i="2" s="1"/>
  <c r="J21" i="2"/>
  <c r="H11" i="2"/>
  <c r="H20" i="2" s="1"/>
  <c r="E28" i="2"/>
  <c r="J20" i="2" l="1"/>
  <c r="M20" i="2" s="1"/>
  <c r="M24" i="2"/>
  <c r="J27" i="2"/>
  <c r="D82" i="1"/>
  <c r="G82" i="1" s="1"/>
  <c r="F20" i="2"/>
  <c r="F28" i="2" s="1"/>
  <c r="M21" i="2" l="1"/>
  <c r="D75" i="1" s="1"/>
  <c r="G75" i="1" s="1"/>
  <c r="J11" i="2"/>
  <c r="J28" i="2" l="1"/>
  <c r="D81" i="1"/>
  <c r="H28" i="2"/>
  <c r="G3" i="2" s="1"/>
  <c r="C21" i="1" s="1"/>
  <c r="D83" i="1" l="1"/>
  <c r="G4" i="2"/>
  <c r="F26" i="1"/>
  <c r="I49" i="1" s="1"/>
  <c r="D74" i="1" l="1"/>
  <c r="D76" i="1" s="1"/>
  <c r="J49" i="1"/>
  <c r="G19" i="5"/>
  <c r="G28" i="5" s="1"/>
  <c r="H19" i="5"/>
  <c r="O15" i="5" s="1"/>
  <c r="J10" i="5" l="1"/>
  <c r="H28" i="5"/>
  <c r="G3" i="5" s="1"/>
  <c r="J19" i="5"/>
  <c r="J28" i="5" l="1"/>
  <c r="O11" i="5"/>
  <c r="O13" i="5" l="1"/>
  <c r="G4" i="5"/>
  <c r="F38" i="1"/>
  <c r="I61" i="1" s="1"/>
  <c r="J61" i="1" l="1"/>
  <c r="P80" i="4"/>
  <c r="Q80" i="4" s="1"/>
  <c r="E98" i="4" s="1"/>
  <c r="E77" i="4" s="1"/>
  <c r="E86" i="4" l="1"/>
  <c r="E95" i="4" s="1"/>
  <c r="G77" i="4"/>
  <c r="G86" i="4" l="1"/>
  <c r="G95" i="4" s="1"/>
  <c r="I77" i="4"/>
  <c r="K77" i="4" l="1"/>
  <c r="I86" i="4"/>
  <c r="I95" i="4" l="1"/>
  <c r="H3" i="4" s="1"/>
  <c r="C22" i="1" s="1"/>
  <c r="C23" i="1" s="1"/>
  <c r="N14" i="4"/>
  <c r="F81" i="1" s="1"/>
  <c r="K86" i="4"/>
  <c r="K95" i="4" l="1"/>
  <c r="N11" i="4"/>
  <c r="F74" i="1" s="1"/>
  <c r="G81" i="1"/>
  <c r="G83" i="1" s="1"/>
  <c r="F83" i="1"/>
  <c r="F76" i="1" l="1"/>
  <c r="G74" i="1"/>
  <c r="G76" i="1" s="1"/>
  <c r="H4" i="4"/>
  <c r="F33" i="1"/>
  <c r="I56" i="1" s="1"/>
  <c r="J56" i="1" l="1"/>
  <c r="I69" i="1"/>
  <c r="C15" i="1" l="1"/>
  <c r="J69" i="1"/>
  <c r="C1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F10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The ERR sheet for Karnataka does not explicitly indicate how 115% to account for transmission losses is applied to the import while calculating the net electricity.
</t>
        </r>
        <r>
          <rPr>
            <b/>
            <sz val="11"/>
            <color theme="1"/>
            <rFont val="Calibri"/>
            <family val="2"/>
            <scheme val="minor"/>
          </rPr>
          <t xml:space="preserve">corrected </t>
        </r>
      </text>
    </comment>
  </commentList>
</comments>
</file>

<file path=xl/sharedStrings.xml><?xml version="1.0" encoding="utf-8"?>
<sst xmlns="http://schemas.openxmlformats.org/spreadsheetml/2006/main" count="692" uniqueCount="148">
  <si>
    <t>Duration</t>
  </si>
  <si>
    <t>Emission Factor</t>
  </si>
  <si>
    <t>Emission Reductions</t>
  </si>
  <si>
    <t>Total</t>
  </si>
  <si>
    <t>Total Net Electricity Supplied EGPJ,y (MWh)</t>
  </si>
  <si>
    <t>Project Investor</t>
  </si>
  <si>
    <t>Project Location</t>
  </si>
  <si>
    <t>Capacity (MW)</t>
  </si>
  <si>
    <t>Estimation comparision considering actual operational days</t>
  </si>
  <si>
    <t>Mytrah Advaith Power Pvt Ltd</t>
  </si>
  <si>
    <t>Mytrah Akshaya Energy Pvt Ltd</t>
  </si>
  <si>
    <t>Karnataka</t>
  </si>
  <si>
    <t>Mytrah Aadhya  Power Pvt Ltd</t>
  </si>
  <si>
    <t>Punjab</t>
  </si>
  <si>
    <t>Mytrah Abhinav Power Pvt Ltd</t>
  </si>
  <si>
    <t>Mytrah Adarsh Power Pvt Ltd</t>
  </si>
  <si>
    <t>Mytrah Agriya Power Pvt Ltd</t>
  </si>
  <si>
    <t>Mytrah Akaash Power Pvt Ltd</t>
  </si>
  <si>
    <t>Telangana</t>
  </si>
  <si>
    <t>Net Electricity Supplied EGPJ,y (MWh) for Punjab Site</t>
  </si>
  <si>
    <t>Net Electricity Supplied EGPJ,y (MWh) for Telangana Site</t>
  </si>
  <si>
    <t>Mytrah Akshaya Energy Private Limited</t>
  </si>
  <si>
    <t>Main Meter</t>
  </si>
  <si>
    <t>Mytrah Advaith Power Private Limited</t>
  </si>
  <si>
    <t>Mytrah Aadhya  Power Private Limited</t>
  </si>
  <si>
    <t>Mytrah Abhinav Power Private Limited</t>
  </si>
  <si>
    <t>Mytrah Adarsh Power Private Limited</t>
  </si>
  <si>
    <t>Mytrah Agriya Power Private Limited</t>
  </si>
  <si>
    <t>Mytrah Akaash Power Private Limited</t>
  </si>
  <si>
    <t>15 MW</t>
  </si>
  <si>
    <t>25 MW</t>
  </si>
  <si>
    <t>Capacity</t>
  </si>
  <si>
    <t>8 MW</t>
  </si>
  <si>
    <t>Thimajipet</t>
  </si>
  <si>
    <t>Arvapally</t>
  </si>
  <si>
    <t>Domakonda</t>
  </si>
  <si>
    <t>Reddypet</t>
  </si>
  <si>
    <t>Chegunta</t>
  </si>
  <si>
    <t>Tunki Bollaram</t>
  </si>
  <si>
    <t>Tungathurthy</t>
  </si>
  <si>
    <t>Gadwal</t>
  </si>
  <si>
    <t>11 MW</t>
  </si>
  <si>
    <t>Alampur</t>
  </si>
  <si>
    <t>Guntipally</t>
  </si>
  <si>
    <t>Shanigaram</t>
  </si>
  <si>
    <t>Tandur</t>
  </si>
  <si>
    <t>50 MW</t>
  </si>
  <si>
    <t>Kmpally</t>
  </si>
  <si>
    <t>Kamareddy</t>
  </si>
  <si>
    <t>Nagakurnool</t>
  </si>
  <si>
    <t>Raibagh</t>
  </si>
  <si>
    <t>Hunagund</t>
  </si>
  <si>
    <t>Sindagi</t>
  </si>
  <si>
    <t>Balran</t>
  </si>
  <si>
    <t>Bareta</t>
  </si>
  <si>
    <t>Site</t>
  </si>
  <si>
    <t>Net Electricity Supplied EGPJ,y (MWh) for Karnataka  Site</t>
  </si>
  <si>
    <t>Total Capacity</t>
  </si>
  <si>
    <t>Total generation in MWh</t>
  </si>
  <si>
    <t>Total VCUs acheived</t>
  </si>
  <si>
    <t xml:space="preserve"> </t>
  </si>
  <si>
    <t>Emission Reduction</t>
  </si>
  <si>
    <t>% Change</t>
  </si>
  <si>
    <t>Project</t>
  </si>
  <si>
    <t>Net Export</t>
  </si>
  <si>
    <t>Export
(MWh)</t>
  </si>
  <si>
    <t>Import
(MWh)</t>
  </si>
  <si>
    <t>Site Location</t>
  </si>
  <si>
    <t>Total Net export as per Invoice (MWh)</t>
  </si>
  <si>
    <t>Minimum of JMR and Invoice (MWh)</t>
  </si>
  <si>
    <t>Vintage 2022</t>
  </si>
  <si>
    <t>Vintage 2023</t>
  </si>
  <si>
    <t>Export
(KWh)</t>
  </si>
  <si>
    <t>Import
(KWh)</t>
  </si>
  <si>
    <t>Meter</t>
  </si>
  <si>
    <t>Main Meter- 17151045</t>
  </si>
  <si>
    <t>Main Meter - 17151028</t>
  </si>
  <si>
    <t>Main Meter - 17115537</t>
  </si>
  <si>
    <t>Hunagund - Check Meter</t>
  </si>
  <si>
    <t>Sindagi-Check Meter</t>
  </si>
  <si>
    <t>Mytrah Advaith Power</t>
  </si>
  <si>
    <t xml:space="preserve">Mytrah Akshaya Energy </t>
  </si>
  <si>
    <t>Mytrah Adhya Power</t>
  </si>
  <si>
    <t>Main Meter - PBB48780</t>
  </si>
  <si>
    <t>Main Meter - PBB48803</t>
  </si>
  <si>
    <t>Balram</t>
  </si>
  <si>
    <t>Mytrah Abhinav Power</t>
  </si>
  <si>
    <t xml:space="preserve">Main Meter - </t>
  </si>
  <si>
    <t>Mytrah Adarsh Power</t>
  </si>
  <si>
    <t>Main Meter - APZ00439</t>
  </si>
  <si>
    <t>Kampally</t>
  </si>
  <si>
    <t>Main Meter - 17250998</t>
  </si>
  <si>
    <t>Mytrah Akaash Power</t>
  </si>
  <si>
    <t>Mytrah Agriya Power</t>
  </si>
  <si>
    <t>Main Meter - TSS04286</t>
  </si>
  <si>
    <t>Main Meter - 2838084</t>
  </si>
  <si>
    <t>Main Meter - 2838071</t>
  </si>
  <si>
    <t>Main Meter - HT01161100</t>
  </si>
  <si>
    <t>Main Meter - 2832434</t>
  </si>
  <si>
    <t>Main Meter - APX01630</t>
  </si>
  <si>
    <t>Total Net export as per Invoice (KWh)</t>
  </si>
  <si>
    <t>Start Date of  
Current MP</t>
  </si>
  <si>
    <t>End Date of 
Current MP</t>
  </si>
  <si>
    <t>Days 
Operational</t>
  </si>
  <si>
    <t>Estimated VCUs 
per year</t>
  </si>
  <si>
    <t>Capacity 
(MW)</t>
  </si>
  <si>
    <t>Estimated VCUs 
during current MP</t>
  </si>
  <si>
    <t>Actual VCUs 
during current MP</t>
  </si>
  <si>
    <t>karnataka site</t>
  </si>
  <si>
    <t>Vintage wise emission reduction</t>
  </si>
  <si>
    <t>total</t>
  </si>
  <si>
    <t>Project Title                 </t>
  </si>
  <si>
    <t>Monitoring Period     </t>
  </si>
  <si>
    <t>Verification No</t>
  </si>
  <si>
    <t>Version Of ER Sheet</t>
  </si>
  <si>
    <t xml:space="preserve">Date </t>
  </si>
  <si>
    <t>Start date of Monitoring Period</t>
  </si>
  <si>
    <t xml:space="preserve">End Date of Monitoring Period </t>
  </si>
  <si>
    <t>Estimated ex ante emission reductions as per registered PDD tCO2e</t>
  </si>
  <si>
    <t>No. of days in current monitoring period</t>
  </si>
  <si>
    <t>Actual achieved emission reductions values during this monitoring period tCO2e</t>
  </si>
  <si>
    <t xml:space="preserve">Difference from estimated value in registered PDD (%) in emission reduction </t>
  </si>
  <si>
    <t>VCS ID.                   </t>
  </si>
  <si>
    <t>01/04/2022 - 30/06/2023</t>
  </si>
  <si>
    <t xml:space="preserve">Solar Power Project by Mytrah Energy India Private Limited  </t>
  </si>
  <si>
    <t xml:space="preserve">methodology  </t>
  </si>
  <si>
    <t xml:space="preserve"> ACM0002 Grid-connected electricity generation from renewable sources version 19</t>
  </si>
  <si>
    <t xml:space="preserve">Export </t>
  </si>
  <si>
    <t xml:space="preserve">Import </t>
  </si>
  <si>
    <t>No of days as per JMR</t>
  </si>
  <si>
    <t xml:space="preserve">No of days as MP in this month </t>
  </si>
  <si>
    <t xml:space="preserve">Par day </t>
  </si>
  <si>
    <t xml:space="preserve">25 days value </t>
  </si>
  <si>
    <t>Note: separate values mentioned in the JMR</t>
  </si>
  <si>
    <t xml:space="preserve">18 days value </t>
  </si>
  <si>
    <t xml:space="preserve">20 days value </t>
  </si>
  <si>
    <t xml:space="preserve">Grand Total </t>
  </si>
  <si>
    <t xml:space="preserve">1 days value </t>
  </si>
  <si>
    <t xml:space="preserve">Electricity Par day </t>
  </si>
  <si>
    <t xml:space="preserve">days value </t>
  </si>
  <si>
    <t xml:space="preserve">Vintage wise electricity generation </t>
  </si>
  <si>
    <t xml:space="preserve">Vintage </t>
  </si>
  <si>
    <t>The color represents the apportioning, and there is a mismatch between the billing period and the monitoring period. Consequently, apportioning has been implemented.</t>
  </si>
  <si>
    <t>NOTE: If there's a discrepancy between the JMR and invoices, according to the Power Purchase Agreement (PPA), the "Auxiliary/Import Consumption is limited to 0.1% of the Solar PV project capacity." Essentially, imported energy shouldn't exceed 0.1% of the project capacity. If it does, the excess energy will be subtracted from the exported energy during billing. This situation can lead to a mismatch between the JMR and invoice values.</t>
  </si>
  <si>
    <t xml:space="preserve">2 days value </t>
  </si>
  <si>
    <t>Net Energy (Export-115% of Import) (KWh)</t>
  </si>
  <si>
    <t>Net Energy ( Export-115% of Import) (KWh)</t>
  </si>
  <si>
    <t>27/3/2024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</si>
</sst>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[$-409]d\-mmm\-yy;@"/>
    <numFmt numFmtId="166" formatCode="#,##0.0000"/>
    <numFmt numFmtId="167" formatCode="0.0000"/>
    <numFmt numFmtId="168" formatCode="0.0000000000"/>
    <numFmt numFmtId="169" formatCode="_(* #,##0_);_(* \(#,##0\);_(* &quot;-&quot;??_);_(@_)"/>
    <numFmt numFmtId="170" formatCode="0.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2"/>
      <name val="Times New Roman"/>
      <family val="1"/>
    </font>
    <font>
      <sz val="10"/>
      <name val="Arial"/>
      <family val="2"/>
    </font>
    <font>
      <sz val="10"/>
      <color rgb="FF000000"/>
      <name val="Arial"/>
      <family val="2"/>
    </font>
    <font>
      <sz val="9.5"/>
      <color theme="1"/>
      <name val="Franklin Gothic Book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000000"/>
      <name val="Cambria"/>
      <family val="1"/>
    </font>
    <font>
      <b/>
      <sz val="11"/>
      <name val="Cambria"/>
      <family val="1"/>
    </font>
    <font>
      <sz val="11"/>
      <name val="Cambria"/>
      <family val="1"/>
    </font>
    <font>
      <sz val="11"/>
      <color rgb="FF000000"/>
      <name val="Cambria"/>
      <family val="1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-0.249977111117893"/>
        <bgColor indexed="64"/>
      </patternFill>
    </fill>
  </fills>
  <borders count="7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9" fontId="2" fillId="0" borderId="0" applyFon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5" fillId="0" borderId="0"/>
    <xf numFmtId="164" fontId="2" fillId="0" borderId="0" applyFont="0" applyFill="0" applyBorder="0" applyAlignment="0" applyProtection="0"/>
  </cellStyleXfs>
  <cellXfs count="390">
    <xf numFmtId="0" fontId="0" fillId="0" borderId="0" xfId="0"/>
    <xf numFmtId="0" fontId="0" fillId="2" borderId="0" xfId="0" applyFill="1"/>
    <xf numFmtId="0" fontId="0" fillId="2" borderId="20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" fontId="0" fillId="2" borderId="20" xfId="0" applyNumberFormat="1" applyFill="1" applyBorder="1" applyAlignment="1">
      <alignment horizontal="center" vertical="center"/>
    </xf>
    <xf numFmtId="0" fontId="0" fillId="2" borderId="5" xfId="0" applyFill="1" applyBorder="1"/>
    <xf numFmtId="3" fontId="3" fillId="2" borderId="5" xfId="3" applyNumberFormat="1" applyFont="1" applyFill="1" applyBorder="1" applyAlignment="1">
      <alignment horizontal="center" vertical="center" wrapText="1"/>
    </xf>
    <xf numFmtId="1" fontId="0" fillId="2" borderId="0" xfId="0" applyNumberFormat="1" applyFill="1" applyAlignment="1">
      <alignment horizontal="center" vertical="center"/>
    </xf>
    <xf numFmtId="3" fontId="3" fillId="2" borderId="20" xfId="3" applyNumberFormat="1" applyFont="1" applyFill="1" applyBorder="1" applyAlignment="1">
      <alignment horizontal="center" vertical="center" wrapText="1"/>
    </xf>
    <xf numFmtId="3" fontId="3" fillId="2" borderId="21" xfId="3" applyNumberFormat="1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 wrapText="1"/>
    </xf>
    <xf numFmtId="0" fontId="0" fillId="2" borderId="4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" fontId="0" fillId="0" borderId="24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" fontId="0" fillId="2" borderId="5" xfId="0" applyNumberFormat="1" applyFill="1" applyBorder="1" applyAlignment="1">
      <alignment horizontal="center" vertical="center" wrapText="1"/>
    </xf>
    <xf numFmtId="1" fontId="0" fillId="2" borderId="18" xfId="0" applyNumberFormat="1" applyFill="1" applyBorder="1" applyAlignment="1">
      <alignment horizontal="center" vertical="center" wrapText="1"/>
    </xf>
    <xf numFmtId="1" fontId="0" fillId="2" borderId="21" xfId="0" applyNumberForma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1" fontId="0" fillId="2" borderId="24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" fontId="0" fillId="0" borderId="23" xfId="0" applyNumberFormat="1" applyBorder="1" applyAlignment="1">
      <alignment horizontal="center" vertical="center" wrapText="1"/>
    </xf>
    <xf numFmtId="1" fontId="0" fillId="2" borderId="17" xfId="0" applyNumberFormat="1" applyFill="1" applyBorder="1" applyAlignment="1">
      <alignment horizontal="center" vertical="center" wrapText="1"/>
    </xf>
    <xf numFmtId="166" fontId="0" fillId="2" borderId="5" xfId="0" applyNumberFormat="1" applyFill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1" fontId="0" fillId="0" borderId="25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165" fontId="1" fillId="0" borderId="12" xfId="0" applyNumberFormat="1" applyFont="1" applyBorder="1" applyAlignment="1">
      <alignment horizontal="center" vertical="center" wrapText="1"/>
    </xf>
    <xf numFmtId="165" fontId="1" fillId="0" borderId="9" xfId="0" applyNumberFormat="1" applyFont="1" applyBorder="1" applyAlignment="1">
      <alignment horizontal="center" vertical="center" wrapText="1"/>
    </xf>
    <xf numFmtId="165" fontId="1" fillId="0" borderId="13" xfId="0" applyNumberFormat="1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" fontId="0" fillId="0" borderId="29" xfId="0" applyNumberForma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165" fontId="1" fillId="0" borderId="41" xfId="0" applyNumberFormat="1" applyFont="1" applyBorder="1" applyAlignment="1">
      <alignment horizontal="center" vertical="center" wrapText="1"/>
    </xf>
    <xf numFmtId="165" fontId="1" fillId="0" borderId="59" xfId="0" applyNumberFormat="1" applyFont="1" applyBorder="1" applyAlignment="1">
      <alignment horizontal="center" vertical="center" wrapText="1"/>
    </xf>
    <xf numFmtId="165" fontId="1" fillId="0" borderId="38" xfId="0" applyNumberFormat="1" applyFont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1" fontId="0" fillId="5" borderId="15" xfId="0" applyNumberFormat="1" applyFill="1" applyBorder="1" applyAlignment="1">
      <alignment horizontal="center" vertical="center" wrapText="1"/>
    </xf>
    <xf numFmtId="0" fontId="0" fillId="3" borderId="46" xfId="0" applyFill="1" applyBorder="1" applyAlignment="1">
      <alignment horizontal="center" vertical="center"/>
    </xf>
    <xf numFmtId="0" fontId="0" fillId="3" borderId="51" xfId="0" applyFill="1" applyBorder="1" applyAlignment="1">
      <alignment horizontal="center" vertical="center"/>
    </xf>
    <xf numFmtId="1" fontId="1" fillId="3" borderId="51" xfId="0" applyNumberFormat="1" applyFont="1" applyFill="1" applyBorder="1" applyAlignment="1">
      <alignment horizontal="center" vertical="center"/>
    </xf>
    <xf numFmtId="167" fontId="1" fillId="3" borderId="51" xfId="0" applyNumberFormat="1" applyFont="1" applyFill="1" applyBorder="1" applyAlignment="1">
      <alignment horizontal="center" vertical="center"/>
    </xf>
    <xf numFmtId="1" fontId="1" fillId="3" borderId="4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1" fontId="0" fillId="5" borderId="14" xfId="0" applyNumberFormat="1" applyFill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0" fontId="0" fillId="3" borderId="50" xfId="0" applyFill="1" applyBorder="1" applyAlignment="1">
      <alignment horizontal="center" vertical="center"/>
    </xf>
    <xf numFmtId="0" fontId="0" fillId="3" borderId="37" xfId="0" applyFill="1" applyBorder="1" applyAlignment="1">
      <alignment horizontal="center" vertical="center"/>
    </xf>
    <xf numFmtId="0" fontId="9" fillId="2" borderId="0" xfId="0" applyFont="1" applyFill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 wrapText="1"/>
    </xf>
    <xf numFmtId="165" fontId="1" fillId="0" borderId="16" xfId="0" applyNumberFormat="1" applyFont="1" applyBorder="1" applyAlignment="1">
      <alignment horizontal="center" vertical="center" wrapText="1"/>
    </xf>
    <xf numFmtId="165" fontId="1" fillId="0" borderId="10" xfId="0" applyNumberFormat="1" applyFont="1" applyBorder="1" applyAlignment="1">
      <alignment horizontal="center" vertical="center" wrapText="1"/>
    </xf>
    <xf numFmtId="165" fontId="1" fillId="0" borderId="22" xfId="0" applyNumberFormat="1" applyFont="1" applyBorder="1" applyAlignment="1">
      <alignment horizontal="center" vertical="center" wrapText="1"/>
    </xf>
    <xf numFmtId="2" fontId="0" fillId="2" borderId="0" xfId="0" applyNumberFormat="1" applyFill="1" applyAlignment="1">
      <alignment horizontal="center" vertical="center"/>
    </xf>
    <xf numFmtId="165" fontId="1" fillId="0" borderId="36" xfId="0" applyNumberFormat="1" applyFont="1" applyBorder="1" applyAlignment="1">
      <alignment horizontal="center" vertical="center" wrapText="1"/>
    </xf>
    <xf numFmtId="165" fontId="1" fillId="0" borderId="47" xfId="0" applyNumberFormat="1" applyFont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1" fontId="0" fillId="0" borderId="18" xfId="0" applyNumberFormat="1" applyBorder="1" applyAlignment="1">
      <alignment horizontal="center" vertical="center"/>
    </xf>
    <xf numFmtId="1" fontId="0" fillId="0" borderId="25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5" borderId="11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>
      <alignment horizontal="center" vertical="center"/>
    </xf>
    <xf numFmtId="1" fontId="0" fillId="3" borderId="46" xfId="0" applyNumberFormat="1" applyFill="1" applyBorder="1" applyAlignment="1">
      <alignment horizontal="center" vertical="center"/>
    </xf>
    <xf numFmtId="1" fontId="0" fillId="3" borderId="51" xfId="0" applyNumberFormat="1" applyFill="1" applyBorder="1" applyAlignment="1">
      <alignment horizontal="center" vertical="center"/>
    </xf>
    <xf numFmtId="1" fontId="0" fillId="3" borderId="47" xfId="0" applyNumberFormat="1" applyFill="1" applyBorder="1" applyAlignment="1">
      <alignment horizontal="center" vertical="center"/>
    </xf>
    <xf numFmtId="1" fontId="0" fillId="3" borderId="11" xfId="0" applyNumberFormat="1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1" fontId="0" fillId="3" borderId="15" xfId="0" applyNumberFormat="1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0" fontId="0" fillId="2" borderId="16" xfId="1" applyNumberFormat="1" applyFont="1" applyFill="1" applyBorder="1" applyAlignment="1">
      <alignment horizontal="center" vertical="center"/>
    </xf>
    <xf numFmtId="10" fontId="0" fillId="2" borderId="22" xfId="1" applyNumberFormat="1" applyFont="1" applyFill="1" applyBorder="1" applyAlignment="1">
      <alignment horizontal="center" vertical="center"/>
    </xf>
    <xf numFmtId="1" fontId="0" fillId="2" borderId="5" xfId="0" applyNumberFormat="1" applyFill="1" applyBorder="1" applyAlignment="1">
      <alignment horizontal="center" vertical="center"/>
    </xf>
    <xf numFmtId="10" fontId="0" fillId="2" borderId="23" xfId="1" applyNumberFormat="1" applyFont="1" applyFill="1" applyBorder="1" applyAlignment="1">
      <alignment horizontal="center" vertical="center"/>
    </xf>
    <xf numFmtId="4" fontId="7" fillId="2" borderId="0" xfId="0" applyNumberFormat="1" applyFont="1" applyFill="1" applyAlignment="1">
      <alignment horizontal="center" vertical="center" wrapText="1"/>
    </xf>
    <xf numFmtId="3" fontId="7" fillId="2" borderId="0" xfId="0" applyNumberFormat="1" applyFont="1" applyFill="1" applyAlignment="1">
      <alignment horizontal="center" vertical="center" wrapText="1"/>
    </xf>
    <xf numFmtId="4" fontId="0" fillId="2" borderId="0" xfId="0" applyNumberForma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3" fontId="0" fillId="2" borderId="0" xfId="0" applyNumberFormat="1" applyFill="1" applyAlignment="1">
      <alignment horizontal="center" vertical="center"/>
    </xf>
    <xf numFmtId="9" fontId="0" fillId="2" borderId="0" xfId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/>
    </xf>
    <xf numFmtId="0" fontId="0" fillId="3" borderId="19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 wrapText="1"/>
    </xf>
    <xf numFmtId="0" fontId="0" fillId="3" borderId="43" xfId="0" applyFill="1" applyBorder="1" applyAlignment="1">
      <alignment horizontal="center" vertical="center" wrapText="1"/>
    </xf>
    <xf numFmtId="1" fontId="1" fillId="2" borderId="37" xfId="0" applyNumberFormat="1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9" fillId="2" borderId="40" xfId="0" applyFont="1" applyFill="1" applyBorder="1" applyAlignment="1">
      <alignment horizontal="left" vertical="center" wrapText="1"/>
    </xf>
    <xf numFmtId="0" fontId="9" fillId="2" borderId="27" xfId="0" applyFont="1" applyFill="1" applyBorder="1" applyAlignment="1">
      <alignment horizontal="left" vertical="center" wrapText="1"/>
    </xf>
    <xf numFmtId="0" fontId="9" fillId="2" borderId="43" xfId="0" applyFont="1" applyFill="1" applyBorder="1" applyAlignment="1">
      <alignment horizontal="left" vertical="center" wrapText="1"/>
    </xf>
    <xf numFmtId="0" fontId="0" fillId="2" borderId="56" xfId="0" applyFill="1" applyBorder="1" applyAlignment="1">
      <alignment horizontal="center" vertical="center"/>
    </xf>
    <xf numFmtId="0" fontId="0" fillId="2" borderId="55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0" fontId="1" fillId="3" borderId="40" xfId="0" applyFont="1" applyFill="1" applyBorder="1" applyAlignment="1">
      <alignment horizontal="center" vertical="center" wrapText="1"/>
    </xf>
    <xf numFmtId="0" fontId="1" fillId="3" borderId="44" xfId="0" applyFont="1" applyFill="1" applyBorder="1" applyAlignment="1">
      <alignment horizontal="center" vertical="center" wrapText="1"/>
    </xf>
    <xf numFmtId="167" fontId="0" fillId="0" borderId="18" xfId="0" applyNumberFormat="1" applyBorder="1" applyAlignment="1">
      <alignment horizontal="center" vertical="center" wrapText="1"/>
    </xf>
    <xf numFmtId="167" fontId="0" fillId="5" borderId="14" xfId="0" applyNumberFormat="1" applyFill="1" applyBorder="1" applyAlignment="1">
      <alignment horizontal="center" vertical="center" wrapText="1"/>
    </xf>
    <xf numFmtId="167" fontId="0" fillId="0" borderId="5" xfId="0" applyNumberFormat="1" applyBorder="1" applyAlignment="1">
      <alignment horizontal="center" vertical="center" wrapText="1"/>
    </xf>
    <xf numFmtId="167" fontId="0" fillId="0" borderId="17" xfId="0" applyNumberFormat="1" applyBorder="1" applyAlignment="1">
      <alignment horizontal="center" vertical="center" wrapText="1"/>
    </xf>
    <xf numFmtId="167" fontId="0" fillId="2" borderId="5" xfId="0" applyNumberForma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24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1" fontId="1" fillId="2" borderId="31" xfId="0" applyNumberFormat="1" applyFont="1" applyFill="1" applyBorder="1" applyAlignment="1">
      <alignment horizontal="center" vertical="center"/>
    </xf>
    <xf numFmtId="1" fontId="1" fillId="2" borderId="30" xfId="0" applyNumberFormat="1" applyFont="1" applyFill="1" applyBorder="1" applyAlignment="1">
      <alignment horizontal="center" vertical="center"/>
    </xf>
    <xf numFmtId="0" fontId="1" fillId="3" borderId="43" xfId="0" applyFont="1" applyFill="1" applyBorder="1" applyAlignment="1">
      <alignment horizontal="center" vertical="center" wrapText="1"/>
    </xf>
    <xf numFmtId="14" fontId="0" fillId="2" borderId="0" xfId="0" applyNumberFormat="1" applyFill="1"/>
    <xf numFmtId="1" fontId="1" fillId="2" borderId="61" xfId="0" applyNumberFormat="1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0" fontId="8" fillId="6" borderId="43" xfId="0" applyFont="1" applyFill="1" applyBorder="1" applyAlignment="1">
      <alignment horizontal="center" vertical="center"/>
    </xf>
    <xf numFmtId="0" fontId="1" fillId="6" borderId="34" xfId="0" applyFont="1" applyFill="1" applyBorder="1" applyAlignment="1">
      <alignment horizontal="center" vertical="center"/>
    </xf>
    <xf numFmtId="3" fontId="1" fillId="6" borderId="51" xfId="0" applyNumberFormat="1" applyFont="1" applyFill="1" applyBorder="1" applyAlignment="1">
      <alignment horizontal="center" vertical="center"/>
    </xf>
    <xf numFmtId="0" fontId="1" fillId="6" borderId="51" xfId="0" applyFont="1" applyFill="1" applyBorder="1" applyAlignment="1">
      <alignment horizontal="center" vertical="center"/>
    </xf>
    <xf numFmtId="10" fontId="0" fillId="6" borderId="47" xfId="1" applyNumberFormat="1" applyFont="1" applyFill="1" applyBorder="1" applyAlignment="1">
      <alignment horizontal="center" vertical="center"/>
    </xf>
    <xf numFmtId="165" fontId="1" fillId="0" borderId="11" xfId="0" applyNumberFormat="1" applyFont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1" fontId="1" fillId="3" borderId="42" xfId="0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" fillId="3" borderId="39" xfId="0" applyFont="1" applyFill="1" applyBorder="1" applyAlignment="1">
      <alignment horizontal="center" vertical="center" wrapText="1"/>
    </xf>
    <xf numFmtId="0" fontId="1" fillId="3" borderId="62" xfId="0" applyFont="1" applyFill="1" applyBorder="1" applyAlignment="1">
      <alignment horizontal="center" vertical="center" wrapText="1"/>
    </xf>
    <xf numFmtId="0" fontId="1" fillId="3" borderId="42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3" fontId="3" fillId="2" borderId="14" xfId="3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/>
    </xf>
    <xf numFmtId="1" fontId="0" fillId="2" borderId="14" xfId="0" applyNumberFormat="1" applyFill="1" applyBorder="1" applyAlignment="1">
      <alignment horizontal="center" vertical="center"/>
    </xf>
    <xf numFmtId="10" fontId="0" fillId="2" borderId="15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65" fontId="2" fillId="2" borderId="20" xfId="4" applyNumberFormat="1" applyFill="1" applyBorder="1" applyAlignment="1">
      <alignment horizontal="center" vertical="center"/>
    </xf>
    <xf numFmtId="165" fontId="2" fillId="2" borderId="21" xfId="4" applyNumberFormat="1" applyFill="1" applyBorder="1" applyAlignment="1">
      <alignment horizontal="center" vertical="center"/>
    </xf>
    <xf numFmtId="165" fontId="2" fillId="2" borderId="14" xfId="4" applyNumberFormat="1" applyFill="1" applyBorder="1" applyAlignment="1">
      <alignment horizontal="center" vertical="center"/>
    </xf>
    <xf numFmtId="165" fontId="2" fillId="2" borderId="5" xfId="4" applyNumberFormat="1" applyFill="1" applyBorder="1" applyAlignment="1">
      <alignment horizontal="center" vertical="center"/>
    </xf>
    <xf numFmtId="165" fontId="1" fillId="6" borderId="51" xfId="0" applyNumberFormat="1" applyFont="1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165" fontId="1" fillId="0" borderId="57" xfId="0" applyNumberFormat="1" applyFont="1" applyBorder="1" applyAlignment="1">
      <alignment horizontal="center" vertical="center" wrapText="1"/>
    </xf>
    <xf numFmtId="0" fontId="0" fillId="0" borderId="63" xfId="0" applyBorder="1" applyAlignment="1">
      <alignment horizontal="center" vertical="center"/>
    </xf>
    <xf numFmtId="165" fontId="1" fillId="0" borderId="23" xfId="0" applyNumberFormat="1" applyFont="1" applyBorder="1" applyAlignment="1">
      <alignment horizontal="center" vertical="center" wrapText="1"/>
    </xf>
    <xf numFmtId="165" fontId="1" fillId="0" borderId="46" xfId="0" applyNumberFormat="1" applyFont="1" applyBorder="1" applyAlignment="1">
      <alignment horizontal="center" vertical="center" wrapText="1"/>
    </xf>
    <xf numFmtId="1" fontId="1" fillId="3" borderId="48" xfId="0" applyNumberFormat="1" applyFont="1" applyFill="1" applyBorder="1" applyAlignment="1">
      <alignment horizontal="center" vertical="center" wrapText="1"/>
    </xf>
    <xf numFmtId="1" fontId="1" fillId="3" borderId="39" xfId="0" applyNumberFormat="1" applyFont="1" applyFill="1" applyBorder="1" applyAlignment="1">
      <alignment horizontal="center" vertical="center" wrapText="1"/>
    </xf>
    <xf numFmtId="1" fontId="1" fillId="3" borderId="42" xfId="0" applyNumberFormat="1" applyFont="1" applyFill="1" applyBorder="1" applyAlignment="1">
      <alignment horizontal="center" vertical="center" wrapText="1"/>
    </xf>
    <xf numFmtId="168" fontId="0" fillId="2" borderId="0" xfId="0" applyNumberForma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0" fontId="13" fillId="2" borderId="22" xfId="1" applyNumberFormat="1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vertical="center" wrapText="1"/>
    </xf>
    <xf numFmtId="0" fontId="11" fillId="7" borderId="9" xfId="0" applyFont="1" applyFill="1" applyBorder="1" applyAlignment="1">
      <alignment vertical="center" wrapText="1"/>
    </xf>
    <xf numFmtId="0" fontId="12" fillId="7" borderId="9" xfId="0" applyFont="1" applyFill="1" applyBorder="1" applyAlignment="1">
      <alignment vertical="top" wrapText="1"/>
    </xf>
    <xf numFmtId="0" fontId="12" fillId="7" borderId="9" xfId="0" applyFont="1" applyFill="1" applyBorder="1" applyAlignment="1">
      <alignment horizontal="left" vertical="top" wrapText="1"/>
    </xf>
    <xf numFmtId="0" fontId="12" fillId="7" borderId="10" xfId="0" applyFont="1" applyFill="1" applyBorder="1" applyAlignment="1">
      <alignment vertical="top" wrapText="1"/>
    </xf>
    <xf numFmtId="0" fontId="0" fillId="2" borderId="0" xfId="0" applyFill="1" applyAlignment="1">
      <alignment vertical="center"/>
    </xf>
    <xf numFmtId="0" fontId="11" fillId="7" borderId="10" xfId="0" applyFont="1" applyFill="1" applyBorder="1" applyAlignment="1">
      <alignment vertical="center" wrapText="1"/>
    </xf>
    <xf numFmtId="0" fontId="12" fillId="7" borderId="8" xfId="0" applyFont="1" applyFill="1" applyBorder="1" applyAlignment="1">
      <alignment wrapText="1"/>
    </xf>
    <xf numFmtId="0" fontId="0" fillId="8" borderId="5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165" fontId="1" fillId="2" borderId="38" xfId="0" applyNumberFormat="1" applyFont="1" applyFill="1" applyBorder="1" applyAlignment="1">
      <alignment horizontal="center" vertical="center" wrapText="1"/>
    </xf>
    <xf numFmtId="165" fontId="1" fillId="2" borderId="13" xfId="0" applyNumberFormat="1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9" borderId="12" xfId="0" applyFill="1" applyBorder="1" applyAlignment="1">
      <alignment horizontal="center" vertical="center"/>
    </xf>
    <xf numFmtId="0" fontId="0" fillId="9" borderId="18" xfId="0" applyFill="1" applyBorder="1" applyAlignment="1">
      <alignment horizontal="center" vertical="center"/>
    </xf>
    <xf numFmtId="0" fontId="0" fillId="9" borderId="25" xfId="0" applyFill="1" applyBorder="1" applyAlignment="1">
      <alignment horizontal="center" vertical="center"/>
    </xf>
    <xf numFmtId="165" fontId="1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1" fontId="1" fillId="3" borderId="0" xfId="0" applyNumberFormat="1" applyFont="1" applyFill="1" applyAlignment="1">
      <alignment horizontal="center" vertical="center"/>
    </xf>
    <xf numFmtId="167" fontId="1" fillId="3" borderId="0" xfId="0" applyNumberFormat="1" applyFont="1" applyFill="1" applyAlignment="1">
      <alignment horizontal="center" vertical="center"/>
    </xf>
    <xf numFmtId="1" fontId="0" fillId="9" borderId="12" xfId="0" applyNumberFormat="1" applyFill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1" fontId="0" fillId="9" borderId="18" xfId="0" applyNumberFormat="1" applyFill="1" applyBorder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67" fontId="1" fillId="2" borderId="0" xfId="0" applyNumberFormat="1" applyFont="1" applyFill="1" applyAlignment="1">
      <alignment horizontal="center" vertical="center"/>
    </xf>
    <xf numFmtId="1" fontId="0" fillId="9" borderId="25" xfId="0" applyNumberFormat="1" applyFill="1" applyBorder="1" applyAlignment="1">
      <alignment horizontal="center" vertical="center"/>
    </xf>
    <xf numFmtId="165" fontId="1" fillId="9" borderId="5" xfId="0" applyNumberFormat="1" applyFont="1" applyFill="1" applyBorder="1" applyAlignment="1">
      <alignment horizontal="center" vertical="center" wrapText="1"/>
    </xf>
    <xf numFmtId="1" fontId="0" fillId="9" borderId="5" xfId="0" applyNumberFormat="1" applyFill="1" applyBorder="1" applyAlignment="1">
      <alignment horizontal="center" vertical="center"/>
    </xf>
    <xf numFmtId="1" fontId="9" fillId="9" borderId="12" xfId="0" applyNumberFormat="1" applyFont="1" applyFill="1" applyBorder="1" applyAlignment="1">
      <alignment horizontal="center" vertical="center"/>
    </xf>
    <xf numFmtId="1" fontId="9" fillId="9" borderId="18" xfId="0" applyNumberFormat="1" applyFont="1" applyFill="1" applyBorder="1" applyAlignment="1">
      <alignment horizontal="center" vertical="center"/>
    </xf>
    <xf numFmtId="1" fontId="9" fillId="9" borderId="25" xfId="0" applyNumberFormat="1" applyFont="1" applyFill="1" applyBorder="1" applyAlignment="1">
      <alignment horizontal="center" vertical="center"/>
    </xf>
    <xf numFmtId="0" fontId="0" fillId="3" borderId="66" xfId="0" applyFill="1" applyBorder="1" applyAlignment="1">
      <alignment horizontal="center" vertical="center"/>
    </xf>
    <xf numFmtId="0" fontId="0" fillId="3" borderId="64" xfId="0" applyFill="1" applyBorder="1" applyAlignment="1">
      <alignment horizontal="center" vertical="center"/>
    </xf>
    <xf numFmtId="1" fontId="1" fillId="3" borderId="64" xfId="0" applyNumberFormat="1" applyFont="1" applyFill="1" applyBorder="1" applyAlignment="1">
      <alignment horizontal="center" vertical="center"/>
    </xf>
    <xf numFmtId="167" fontId="1" fillId="3" borderId="64" xfId="0" applyNumberFormat="1" applyFont="1" applyFill="1" applyBorder="1" applyAlignment="1">
      <alignment horizontal="center" vertical="center"/>
    </xf>
    <xf numFmtId="1" fontId="1" fillId="3" borderId="65" xfId="0" applyNumberFormat="1" applyFont="1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/>
    </xf>
    <xf numFmtId="165" fontId="1" fillId="9" borderId="8" xfId="0" applyNumberFormat="1" applyFont="1" applyFill="1" applyBorder="1" applyAlignment="1">
      <alignment horizontal="center" vertical="center" wrapText="1"/>
    </xf>
    <xf numFmtId="14" fontId="0" fillId="9" borderId="16" xfId="0" applyNumberFormat="1" applyFill="1" applyBorder="1" applyAlignment="1">
      <alignment horizontal="center" vertical="center"/>
    </xf>
    <xf numFmtId="0" fontId="0" fillId="9" borderId="9" xfId="0" applyFill="1" applyBorder="1" applyAlignment="1">
      <alignment horizontal="center" vertical="center"/>
    </xf>
    <xf numFmtId="14" fontId="0" fillId="9" borderId="10" xfId="0" applyNumberFormat="1" applyFill="1" applyBorder="1" applyAlignment="1">
      <alignment horizontal="center" vertical="center"/>
    </xf>
    <xf numFmtId="165" fontId="1" fillId="9" borderId="22" xfId="0" applyNumberFormat="1" applyFont="1" applyFill="1" applyBorder="1" applyAlignment="1">
      <alignment horizontal="center" vertical="center" wrapText="1"/>
    </xf>
    <xf numFmtId="165" fontId="1" fillId="9" borderId="16" xfId="0" applyNumberFormat="1" applyFont="1" applyFill="1" applyBorder="1" applyAlignment="1">
      <alignment horizontal="center" vertical="center" wrapText="1"/>
    </xf>
    <xf numFmtId="165" fontId="1" fillId="9" borderId="10" xfId="0" applyNumberFormat="1" applyFont="1" applyFill="1" applyBorder="1" applyAlignment="1">
      <alignment horizontal="center" vertical="center" wrapText="1"/>
    </xf>
    <xf numFmtId="1" fontId="0" fillId="9" borderId="7" xfId="0" applyNumberFormat="1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169" fontId="1" fillId="2" borderId="1" xfId="6" applyNumberFormat="1" applyFont="1" applyFill="1" applyBorder="1" applyAlignment="1">
      <alignment horizontal="center" vertical="center"/>
    </xf>
    <xf numFmtId="169" fontId="1" fillId="2" borderId="30" xfId="6" applyNumberFormat="1" applyFont="1" applyFill="1" applyBorder="1" applyAlignment="1">
      <alignment horizontal="center" vertical="center"/>
    </xf>
    <xf numFmtId="169" fontId="1" fillId="2" borderId="31" xfId="6" applyNumberFormat="1" applyFont="1" applyFill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 wrapText="1"/>
    </xf>
    <xf numFmtId="165" fontId="1" fillId="9" borderId="13" xfId="0" applyNumberFormat="1" applyFont="1" applyFill="1" applyBorder="1" applyAlignment="1">
      <alignment horizontal="center" vertical="center" wrapText="1"/>
    </xf>
    <xf numFmtId="165" fontId="1" fillId="9" borderId="38" xfId="0" applyNumberFormat="1" applyFont="1" applyFill="1" applyBorder="1" applyAlignment="1">
      <alignment horizontal="center" vertical="center" wrapText="1"/>
    </xf>
    <xf numFmtId="0" fontId="0" fillId="9" borderId="68" xfId="0" applyFill="1" applyBorder="1" applyAlignment="1">
      <alignment horizontal="center" vertical="center"/>
    </xf>
    <xf numFmtId="0" fontId="0" fillId="9" borderId="64" xfId="0" applyFill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 wrapText="1"/>
    </xf>
    <xf numFmtId="170" fontId="0" fillId="9" borderId="25" xfId="0" applyNumberFormat="1" applyFill="1" applyBorder="1" applyAlignment="1">
      <alignment horizontal="center" vertical="center"/>
    </xf>
    <xf numFmtId="165" fontId="1" fillId="3" borderId="66" xfId="0" applyNumberFormat="1" applyFont="1" applyFill="1" applyBorder="1" applyAlignment="1">
      <alignment horizontal="center" vertical="center"/>
    </xf>
    <xf numFmtId="165" fontId="1" fillId="3" borderId="69" xfId="0" applyNumberFormat="1" applyFont="1" applyFill="1" applyBorder="1" applyAlignment="1">
      <alignment horizontal="center" vertical="center"/>
    </xf>
    <xf numFmtId="0" fontId="0" fillId="3" borderId="68" xfId="0" applyFill="1" applyBorder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 wrapText="1"/>
    </xf>
    <xf numFmtId="165" fontId="1" fillId="2" borderId="12" xfId="0" applyNumberFormat="1" applyFont="1" applyFill="1" applyBorder="1" applyAlignment="1">
      <alignment horizontal="center" vertical="center" wrapText="1"/>
    </xf>
    <xf numFmtId="165" fontId="1" fillId="2" borderId="41" xfId="0" applyNumberFormat="1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/>
    </xf>
    <xf numFmtId="165" fontId="1" fillId="2" borderId="9" xfId="0" applyNumberFormat="1" applyFont="1" applyFill="1" applyBorder="1" applyAlignment="1">
      <alignment horizontal="center" vertical="center" wrapText="1"/>
    </xf>
    <xf numFmtId="165" fontId="1" fillId="2" borderId="59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/>
    </xf>
    <xf numFmtId="14" fontId="0" fillId="2" borderId="63" xfId="0" applyNumberFormat="1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1" fontId="0" fillId="2" borderId="0" xfId="0" applyNumberFormat="1" applyFill="1"/>
    <xf numFmtId="1" fontId="0" fillId="0" borderId="17" xfId="0" applyNumberFormat="1" applyBorder="1" applyAlignment="1">
      <alignment horizontal="center" vertical="center"/>
    </xf>
    <xf numFmtId="1" fontId="0" fillId="2" borderId="15" xfId="0" applyNumberFormat="1" applyFill="1" applyBorder="1" applyAlignment="1">
      <alignment horizontal="center" vertical="center"/>
    </xf>
    <xf numFmtId="167" fontId="0" fillId="2" borderId="14" xfId="0" applyNumberFormat="1" applyFill="1" applyBorder="1" applyAlignment="1">
      <alignment horizontal="center" vertical="center" wrapText="1"/>
    </xf>
    <xf numFmtId="1" fontId="0" fillId="2" borderId="15" xfId="0" applyNumberFormat="1" applyFill="1" applyBorder="1" applyAlignment="1">
      <alignment horizontal="center" vertical="center" wrapText="1"/>
    </xf>
    <xf numFmtId="1" fontId="0" fillId="0" borderId="69" xfId="0" applyNumberFormat="1" applyBorder="1" applyAlignment="1">
      <alignment horizontal="center" vertical="center"/>
    </xf>
    <xf numFmtId="165" fontId="13" fillId="2" borderId="16" xfId="0" applyNumberFormat="1" applyFont="1" applyFill="1" applyBorder="1" applyAlignment="1">
      <alignment horizontal="center" vertical="center"/>
    </xf>
    <xf numFmtId="165" fontId="13" fillId="2" borderId="23" xfId="0" applyNumberFormat="1" applyFont="1" applyFill="1" applyBorder="1" applyAlignment="1">
      <alignment horizontal="center" vertical="center"/>
    </xf>
    <xf numFmtId="3" fontId="13" fillId="2" borderId="23" xfId="0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1" fontId="0" fillId="9" borderId="13" xfId="0" applyNumberFormat="1" applyFill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1" fontId="16" fillId="0" borderId="17" xfId="0" applyNumberFormat="1" applyFont="1" applyBorder="1" applyAlignment="1">
      <alignment horizontal="center" vertical="center" wrapText="1"/>
    </xf>
    <xf numFmtId="1" fontId="0" fillId="9" borderId="9" xfId="0" applyNumberFormat="1" applyFill="1" applyBorder="1" applyAlignment="1">
      <alignment horizontal="center" vertical="center"/>
    </xf>
    <xf numFmtId="1" fontId="0" fillId="0" borderId="17" xfId="0" applyNumberFormat="1" applyBorder="1" applyAlignment="1">
      <alignment horizontal="center" vertical="center" wrapText="1"/>
    </xf>
    <xf numFmtId="1" fontId="16" fillId="0" borderId="5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1" fontId="0" fillId="0" borderId="18" xfId="0" applyNumberFormat="1" applyBorder="1" applyAlignment="1">
      <alignment horizontal="center" vertical="center" wrapText="1"/>
    </xf>
    <xf numFmtId="10" fontId="0" fillId="2" borderId="0" xfId="1" applyNumberFormat="1" applyFont="1" applyFill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 wrapText="1"/>
    </xf>
    <xf numFmtId="165" fontId="1" fillId="2" borderId="16" xfId="0" applyNumberFormat="1" applyFont="1" applyFill="1" applyBorder="1" applyAlignment="1">
      <alignment horizontal="center" vertical="center" wrapText="1"/>
    </xf>
    <xf numFmtId="165" fontId="1" fillId="2" borderId="10" xfId="0" applyNumberFormat="1" applyFont="1" applyFill="1" applyBorder="1" applyAlignment="1">
      <alignment horizontal="center" vertical="center" wrapText="1"/>
    </xf>
    <xf numFmtId="165" fontId="1" fillId="2" borderId="22" xfId="0" applyNumberFormat="1" applyFont="1" applyFill="1" applyBorder="1" applyAlignment="1">
      <alignment horizontal="center" vertical="center" wrapText="1"/>
    </xf>
    <xf numFmtId="165" fontId="17" fillId="9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2" fontId="0" fillId="0" borderId="25" xfId="0" applyNumberFormat="1" applyBorder="1" applyAlignment="1">
      <alignment horizontal="center" vertical="center"/>
    </xf>
    <xf numFmtId="2" fontId="0" fillId="5" borderId="15" xfId="0" applyNumberFormat="1" applyFill="1" applyBorder="1" applyAlignment="1">
      <alignment horizontal="center" vertical="center"/>
    </xf>
    <xf numFmtId="2" fontId="0" fillId="9" borderId="25" xfId="0" applyNumberFormat="1" applyFill="1" applyBorder="1" applyAlignment="1">
      <alignment horizontal="center" vertical="center"/>
    </xf>
    <xf numFmtId="2" fontId="0" fillId="3" borderId="47" xfId="0" applyNumberFormat="1" applyFill="1" applyBorder="1" applyAlignment="1">
      <alignment horizontal="center" vertical="center"/>
    </xf>
    <xf numFmtId="2" fontId="0" fillId="3" borderId="65" xfId="0" applyNumberFormat="1" applyFill="1" applyBorder="1" applyAlignment="1">
      <alignment horizontal="center" vertical="center"/>
    </xf>
    <xf numFmtId="2" fontId="0" fillId="3" borderId="15" xfId="0" applyNumberForma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0" fillId="9" borderId="0" xfId="0" applyFill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3" borderId="60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0" fontId="14" fillId="2" borderId="22" xfId="0" applyFont="1" applyFill="1" applyBorder="1" applyAlignment="1">
      <alignment horizontal="center" vertical="center" wrapText="1"/>
    </xf>
    <xf numFmtId="0" fontId="0" fillId="2" borderId="52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43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4" borderId="32" xfId="0" applyFont="1" applyFill="1" applyBorder="1" applyAlignment="1">
      <alignment horizontal="center" vertical="center"/>
    </xf>
    <xf numFmtId="0" fontId="1" fillId="4" borderId="33" xfId="0" applyFont="1" applyFill="1" applyBorder="1" applyAlignment="1">
      <alignment horizontal="center" vertical="center"/>
    </xf>
    <xf numFmtId="0" fontId="1" fillId="4" borderId="31" xfId="0" applyFont="1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 wrapText="1"/>
    </xf>
    <xf numFmtId="0" fontId="0" fillId="3" borderId="43" xfId="0" applyFill="1" applyBorder="1" applyAlignment="1">
      <alignment horizontal="center" vertical="center" wrapText="1"/>
    </xf>
    <xf numFmtId="0" fontId="0" fillId="3" borderId="27" xfId="0" applyFill="1" applyBorder="1" applyAlignment="1">
      <alignment horizontal="center" vertical="center" wrapText="1"/>
    </xf>
    <xf numFmtId="0" fontId="12" fillId="7" borderId="9" xfId="0" applyFont="1" applyFill="1" applyBorder="1" applyAlignment="1">
      <alignment horizontal="left" vertical="top" wrapText="1"/>
    </xf>
    <xf numFmtId="0" fontId="13" fillId="2" borderId="23" xfId="0" applyFont="1" applyFill="1" applyBorder="1" applyAlignment="1">
      <alignment horizontal="center" vertical="center"/>
    </xf>
    <xf numFmtId="14" fontId="0" fillId="2" borderId="5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7" fontId="0" fillId="2" borderId="59" xfId="0" applyNumberFormat="1" applyFill="1" applyBorder="1" applyAlignment="1">
      <alignment horizontal="center" vertical="center"/>
    </xf>
    <xf numFmtId="0" fontId="0" fillId="2" borderId="67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3" borderId="54" xfId="0" applyFill="1" applyBorder="1" applyAlignment="1">
      <alignment horizontal="center" vertical="center"/>
    </xf>
    <xf numFmtId="0" fontId="0" fillId="3" borderId="44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0" fontId="0" fillId="3" borderId="50" xfId="0" applyFill="1" applyBorder="1" applyAlignment="1">
      <alignment horizontal="center" vertical="center"/>
    </xf>
    <xf numFmtId="0" fontId="0" fillId="3" borderId="37" xfId="0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48" xfId="0" applyFont="1" applyFill="1" applyBorder="1" applyAlignment="1">
      <alignment horizontal="center" vertical="center"/>
    </xf>
    <xf numFmtId="0" fontId="1" fillId="3" borderId="53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57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165" fontId="1" fillId="5" borderId="32" xfId="0" applyNumberFormat="1" applyFont="1" applyFill="1" applyBorder="1" applyAlignment="1">
      <alignment horizontal="center" vertical="center" wrapText="1"/>
    </xf>
    <xf numFmtId="165" fontId="1" fillId="5" borderId="33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39" xfId="0" applyFont="1" applyFill="1" applyBorder="1" applyAlignment="1">
      <alignment horizontal="center" vertical="center"/>
    </xf>
    <xf numFmtId="0" fontId="1" fillId="3" borderId="42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165" fontId="1" fillId="3" borderId="48" xfId="0" applyNumberFormat="1" applyFont="1" applyFill="1" applyBorder="1" applyAlignment="1">
      <alignment horizontal="center" vertical="center"/>
    </xf>
    <xf numFmtId="165" fontId="1" fillId="3" borderId="42" xfId="0" applyNumberFormat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/>
    </xf>
    <xf numFmtId="165" fontId="1" fillId="3" borderId="46" xfId="0" applyNumberFormat="1" applyFont="1" applyFill="1" applyBorder="1" applyAlignment="1">
      <alignment horizontal="center" vertical="center"/>
    </xf>
    <xf numFmtId="165" fontId="1" fillId="3" borderId="58" xfId="0" applyNumberFormat="1" applyFont="1" applyFill="1" applyBorder="1" applyAlignment="1">
      <alignment horizontal="center" vertical="center"/>
    </xf>
    <xf numFmtId="17" fontId="0" fillId="2" borderId="59" xfId="0" applyNumberFormat="1" applyFill="1" applyBorder="1" applyAlignment="1">
      <alignment horizontal="center"/>
    </xf>
    <xf numFmtId="0" fontId="0" fillId="2" borderId="67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3" borderId="33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1" fontId="0" fillId="3" borderId="54" xfId="0" applyNumberFormat="1" applyFill="1" applyBorder="1" applyAlignment="1">
      <alignment horizontal="center" vertical="center"/>
    </xf>
    <xf numFmtId="1" fontId="0" fillId="3" borderId="44" xfId="0" applyNumberFormat="1" applyFill="1" applyBorder="1" applyAlignment="1">
      <alignment horizontal="center" vertical="center"/>
    </xf>
    <xf numFmtId="1" fontId="0" fillId="3" borderId="0" xfId="0" applyNumberFormat="1" applyFill="1" applyAlignment="1">
      <alignment horizontal="center" vertical="center"/>
    </xf>
    <xf numFmtId="1" fontId="0" fillId="3" borderId="35" xfId="0" applyNumberFormat="1" applyFill="1" applyBorder="1" applyAlignment="1">
      <alignment horizontal="center" vertical="center"/>
    </xf>
    <xf numFmtId="1" fontId="0" fillId="3" borderId="50" xfId="0" applyNumberFormat="1" applyFill="1" applyBorder="1" applyAlignment="1">
      <alignment horizontal="center" vertical="center"/>
    </xf>
    <xf numFmtId="1" fontId="0" fillId="3" borderId="37" xfId="0" applyNumberFormat="1" applyFill="1" applyBorder="1" applyAlignment="1">
      <alignment horizontal="center" vertical="center"/>
    </xf>
    <xf numFmtId="1" fontId="0" fillId="3" borderId="33" xfId="0" applyNumberFormat="1" applyFill="1" applyBorder="1" applyAlignment="1">
      <alignment horizontal="center" vertical="center"/>
    </xf>
    <xf numFmtId="1" fontId="0" fillId="3" borderId="31" xfId="0" applyNumberFormat="1" applyFill="1" applyBorder="1" applyAlignment="1">
      <alignment horizontal="center" vertical="center"/>
    </xf>
    <xf numFmtId="165" fontId="1" fillId="2" borderId="32" xfId="0" applyNumberFormat="1" applyFont="1" applyFill="1" applyBorder="1" applyAlignment="1">
      <alignment horizontal="center" vertical="center" wrapText="1"/>
    </xf>
    <xf numFmtId="165" fontId="1" fillId="2" borderId="33" xfId="0" applyNumberFormat="1" applyFont="1" applyFill="1" applyBorder="1" applyAlignment="1">
      <alignment horizontal="center" vertical="center" wrapText="1"/>
    </xf>
    <xf numFmtId="1" fontId="1" fillId="3" borderId="32" xfId="0" applyNumberFormat="1" applyFont="1" applyFill="1" applyBorder="1" applyAlignment="1">
      <alignment horizontal="center" vertical="center" wrapText="1"/>
    </xf>
    <xf numFmtId="1" fontId="1" fillId="3" borderId="33" xfId="0" applyNumberFormat="1" applyFont="1" applyFill="1" applyBorder="1" applyAlignment="1">
      <alignment horizontal="center" vertical="center" wrapText="1"/>
    </xf>
    <xf numFmtId="1" fontId="1" fillId="3" borderId="31" xfId="0" applyNumberFormat="1" applyFont="1" applyFill="1" applyBorder="1" applyAlignment="1">
      <alignment horizontal="center" vertical="center" wrapText="1"/>
    </xf>
    <xf numFmtId="1" fontId="1" fillId="3" borderId="48" xfId="0" applyNumberFormat="1" applyFont="1" applyFill="1" applyBorder="1" applyAlignment="1">
      <alignment horizontal="center" vertical="center"/>
    </xf>
    <xf numFmtId="1" fontId="1" fillId="3" borderId="39" xfId="0" applyNumberFormat="1" applyFont="1" applyFill="1" applyBorder="1" applyAlignment="1">
      <alignment horizontal="center" vertical="center"/>
    </xf>
    <xf numFmtId="1" fontId="1" fillId="3" borderId="42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 wrapText="1"/>
    </xf>
    <xf numFmtId="1" fontId="1" fillId="3" borderId="14" xfId="0" applyNumberFormat="1" applyFont="1" applyFill="1" applyBorder="1" applyAlignment="1">
      <alignment horizontal="center" vertical="center" wrapText="1"/>
    </xf>
    <xf numFmtId="1" fontId="1" fillId="3" borderId="15" xfId="0" applyNumberFormat="1" applyFont="1" applyFill="1" applyBorder="1" applyAlignment="1">
      <alignment horizontal="center" vertical="center" wrapText="1"/>
    </xf>
    <xf numFmtId="1" fontId="1" fillId="3" borderId="33" xfId="0" applyNumberFormat="1" applyFont="1" applyFill="1" applyBorder="1" applyAlignment="1">
      <alignment horizontal="center" vertical="center"/>
    </xf>
    <xf numFmtId="1" fontId="1" fillId="3" borderId="31" xfId="0" applyNumberFormat="1" applyFont="1" applyFill="1" applyBorder="1" applyAlignment="1">
      <alignment horizontal="center" vertical="center"/>
    </xf>
    <xf numFmtId="165" fontId="1" fillId="0" borderId="32" xfId="0" applyNumberFormat="1" applyFont="1" applyBorder="1" applyAlignment="1">
      <alignment horizontal="center" vertical="center" wrapText="1"/>
    </xf>
    <xf numFmtId="165" fontId="1" fillId="0" borderId="33" xfId="0" applyNumberFormat="1" applyFont="1" applyBorder="1" applyAlignment="1">
      <alignment horizontal="center" vertical="center" wrapText="1"/>
    </xf>
    <xf numFmtId="0" fontId="15" fillId="10" borderId="0" xfId="0" applyFont="1" applyFill="1" applyAlignment="1">
      <alignment horizontal="center" vertical="center" wrapText="1"/>
    </xf>
    <xf numFmtId="17" fontId="0" fillId="2" borderId="5" xfId="0" applyNumberFormat="1" applyFill="1" applyBorder="1" applyAlignment="1">
      <alignment horizontal="center" vertical="center"/>
    </xf>
    <xf numFmtId="0" fontId="8" fillId="3" borderId="45" xfId="0" applyFont="1" applyFill="1" applyBorder="1" applyAlignment="1">
      <alignment horizontal="center" vertical="center"/>
    </xf>
    <xf numFmtId="0" fontId="8" fillId="3" borderId="54" xfId="0" applyFont="1" applyFill="1" applyBorder="1" applyAlignment="1">
      <alignment horizontal="center" vertical="center"/>
    </xf>
    <xf numFmtId="0" fontId="8" fillId="3" borderId="44" xfId="0" applyFont="1" applyFill="1" applyBorder="1" applyAlignment="1">
      <alignment horizontal="center" vertical="center"/>
    </xf>
    <xf numFmtId="0" fontId="8" fillId="3" borderId="36" xfId="0" applyFont="1" applyFill="1" applyBorder="1" applyAlignment="1">
      <alignment horizontal="center" vertical="center"/>
    </xf>
    <xf numFmtId="0" fontId="8" fillId="3" borderId="50" xfId="0" applyFont="1" applyFill="1" applyBorder="1" applyAlignment="1">
      <alignment horizontal="center" vertical="center"/>
    </xf>
    <xf numFmtId="0" fontId="8" fillId="3" borderId="37" xfId="0" applyFont="1" applyFill="1" applyBorder="1" applyAlignment="1">
      <alignment horizontal="center" vertical="center"/>
    </xf>
    <xf numFmtId="165" fontId="1" fillId="5" borderId="45" xfId="0" applyNumberFormat="1" applyFont="1" applyFill="1" applyBorder="1" applyAlignment="1">
      <alignment horizontal="center" vertical="center" wrapText="1"/>
    </xf>
    <xf numFmtId="165" fontId="1" fillId="5" borderId="54" xfId="0" applyNumberFormat="1" applyFont="1" applyFill="1" applyBorder="1" applyAlignment="1">
      <alignment horizontal="center" vertical="center" wrapText="1"/>
    </xf>
    <xf numFmtId="165" fontId="1" fillId="5" borderId="36" xfId="0" applyNumberFormat="1" applyFont="1" applyFill="1" applyBorder="1" applyAlignment="1">
      <alignment horizontal="center" vertical="center" wrapText="1"/>
    </xf>
    <xf numFmtId="165" fontId="1" fillId="5" borderId="50" xfId="0" applyNumberFormat="1" applyFont="1" applyFill="1" applyBorder="1" applyAlignment="1">
      <alignment horizontal="center" vertical="center" wrapText="1"/>
    </xf>
    <xf numFmtId="0" fontId="1" fillId="2" borderId="48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</cellXfs>
  <cellStyles count="7">
    <cellStyle name="Comma" xfId="6" builtinId="3"/>
    <cellStyle name="Normal" xfId="0" builtinId="0"/>
    <cellStyle name="Normal 16" xfId="2" xr:uid="{00000000-0005-0000-0000-000002000000}"/>
    <cellStyle name="Normal 17" xfId="4" xr:uid="{00000000-0005-0000-0000-000003000000}"/>
    <cellStyle name="Normal 19" xfId="5" xr:uid="{00000000-0005-0000-0000-000004000000}"/>
    <cellStyle name="Normal_Sheet1 2" xfId="3" xr:uid="{00000000-0005-0000-0000-000005000000}"/>
    <cellStyle name="Percent" xfId="1" builtinId="5"/>
  </cellStyles>
  <dxfs count="0"/>
  <tableStyles count="0" defaultTableStyle="TableStyleMedium2" defaultPivotStyle="PivotStyleMedium9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1:Q91"/>
  <sheetViews>
    <sheetView topLeftCell="D70" zoomScale="98" zoomScaleNormal="98" workbookViewId="0">
      <selection activeCell="C15" sqref="C15"/>
    </sheetView>
  </sheetViews>
  <sheetFormatPr defaultColWidth="50.7109375" defaultRowHeight="15" x14ac:dyDescent="0.25"/>
  <cols>
    <col min="1" max="1" width="8.28515625" style="24" customWidth="1"/>
    <col min="2" max="2" width="52.28515625" style="24" bestFit="1" customWidth="1"/>
    <col min="3" max="3" width="26" style="24" customWidth="1"/>
    <col min="4" max="4" width="15.28515625" style="24" bestFit="1" customWidth="1"/>
    <col min="5" max="5" width="14.28515625" style="24" bestFit="1" customWidth="1"/>
    <col min="6" max="6" width="24.140625" style="24" customWidth="1"/>
    <col min="7" max="7" width="11.5703125" style="24" bestFit="1" customWidth="1"/>
    <col min="8" max="9" width="17.28515625" style="24" bestFit="1" customWidth="1"/>
    <col min="10" max="10" width="9.5703125" style="24" bestFit="1" customWidth="1"/>
    <col min="11" max="16384" width="50.7109375" style="24"/>
  </cols>
  <sheetData>
    <row r="1" spans="2:6" ht="15.75" thickBot="1" x14ac:dyDescent="0.3"/>
    <row r="2" spans="2:6" x14ac:dyDescent="0.25">
      <c r="B2" s="173" t="s">
        <v>111</v>
      </c>
      <c r="C2" s="304" t="s">
        <v>124</v>
      </c>
      <c r="D2" s="304"/>
      <c r="E2" s="305"/>
      <c r="F2" s="178"/>
    </row>
    <row r="3" spans="2:6" x14ac:dyDescent="0.25">
      <c r="B3" s="174" t="s">
        <v>122</v>
      </c>
      <c r="C3" s="302">
        <v>1784</v>
      </c>
      <c r="D3" s="302"/>
      <c r="E3" s="303"/>
    </row>
    <row r="4" spans="2:6" x14ac:dyDescent="0.25">
      <c r="B4" s="174" t="s">
        <v>112</v>
      </c>
      <c r="C4" s="302" t="s">
        <v>123</v>
      </c>
      <c r="D4" s="302"/>
      <c r="E4" s="303"/>
    </row>
    <row r="5" spans="2:6" x14ac:dyDescent="0.25">
      <c r="B5" s="174" t="s">
        <v>113</v>
      </c>
      <c r="C5" s="302">
        <v>6</v>
      </c>
      <c r="D5" s="302"/>
      <c r="E5" s="303"/>
    </row>
    <row r="6" spans="2:6" x14ac:dyDescent="0.25">
      <c r="B6" s="174" t="s">
        <v>114</v>
      </c>
      <c r="C6" s="302">
        <v>5</v>
      </c>
      <c r="D6" s="302"/>
      <c r="E6" s="303"/>
    </row>
    <row r="7" spans="2:6" x14ac:dyDescent="0.25">
      <c r="B7" s="174" t="s">
        <v>115</v>
      </c>
      <c r="C7" s="301" t="s">
        <v>147</v>
      </c>
      <c r="D7" s="302"/>
      <c r="E7" s="303"/>
    </row>
    <row r="8" spans="2:6" ht="34.5" customHeight="1" thickBot="1" x14ac:dyDescent="0.3">
      <c r="B8" s="179" t="s">
        <v>125</v>
      </c>
      <c r="C8" s="286" t="s">
        <v>126</v>
      </c>
      <c r="D8" s="286"/>
      <c r="E8" s="287"/>
    </row>
    <row r="9" spans="2:6" ht="15.75" thickBot="1" x14ac:dyDescent="0.3">
      <c r="B9" s="1"/>
    </row>
    <row r="10" spans="2:6" x14ac:dyDescent="0.2">
      <c r="B10" s="180" t="s">
        <v>116</v>
      </c>
      <c r="C10" s="250">
        <v>44652</v>
      </c>
    </row>
    <row r="11" spans="2:6" x14ac:dyDescent="0.25">
      <c r="B11" s="175" t="s">
        <v>117</v>
      </c>
      <c r="C11" s="251">
        <v>45107</v>
      </c>
    </row>
    <row r="12" spans="2:6" ht="28.5" x14ac:dyDescent="0.25">
      <c r="B12" s="175" t="s">
        <v>118</v>
      </c>
      <c r="C12" s="252">
        <f>H69</f>
        <v>797712</v>
      </c>
    </row>
    <row r="13" spans="2:6" x14ac:dyDescent="0.25">
      <c r="B13" s="299" t="s">
        <v>119</v>
      </c>
      <c r="C13" s="300">
        <f>C11-C10+1</f>
        <v>456</v>
      </c>
    </row>
    <row r="14" spans="2:6" x14ac:dyDescent="0.25">
      <c r="B14" s="299"/>
      <c r="C14" s="300"/>
    </row>
    <row r="15" spans="2:6" ht="28.5" x14ac:dyDescent="0.25">
      <c r="B15" s="176" t="s">
        <v>120</v>
      </c>
      <c r="C15" s="252">
        <f>I69</f>
        <v>751827</v>
      </c>
      <c r="D15" s="264"/>
    </row>
    <row r="16" spans="2:6" ht="29.25" thickBot="1" x14ac:dyDescent="0.3">
      <c r="B16" s="177" t="s">
        <v>121</v>
      </c>
      <c r="C16" s="172">
        <f>J69</f>
        <v>-5.7520759371803357E-2</v>
      </c>
    </row>
    <row r="19" spans="2:9" ht="15.75" thickBot="1" x14ac:dyDescent="0.3">
      <c r="F19" s="26"/>
      <c r="G19" s="162"/>
      <c r="H19" s="7"/>
    </row>
    <row r="20" spans="2:9" x14ac:dyDescent="0.25">
      <c r="B20" s="161" t="s">
        <v>19</v>
      </c>
      <c r="C20" s="222">
        <f>'Punjab Site'!G3</f>
        <v>103520.76209255101</v>
      </c>
      <c r="H20" s="7"/>
    </row>
    <row r="21" spans="2:9" x14ac:dyDescent="0.25">
      <c r="B21" s="160" t="s">
        <v>56</v>
      </c>
      <c r="C21" s="223">
        <f>'Karnataka Site'!G3</f>
        <v>101472.74065000002</v>
      </c>
      <c r="H21" s="7"/>
    </row>
    <row r="22" spans="2:9" ht="15.75" thickBot="1" x14ac:dyDescent="0.3">
      <c r="B22" s="160" t="s">
        <v>20</v>
      </c>
      <c r="C22" s="223">
        <f>'Mytrah-Abhinav (TL)'!H3+'Mytrah-Adarsh (TL)'!G3+'Mytrah-Agriya (TL)'!G3+'Mytrah-Aakash (TL)'!G3</f>
        <v>597576.74064999993</v>
      </c>
      <c r="H22" s="7"/>
    </row>
    <row r="23" spans="2:9" ht="15.75" thickBot="1" x14ac:dyDescent="0.3">
      <c r="B23" s="10" t="s">
        <v>4</v>
      </c>
      <c r="C23" s="224">
        <f>ROUNDDOWN(SUM(C20:C22),0)</f>
        <v>802570</v>
      </c>
      <c r="F23" s="282"/>
      <c r="G23" s="282"/>
      <c r="H23" s="7"/>
      <c r="I23" s="98"/>
    </row>
    <row r="24" spans="2:9" ht="15.75" thickBot="1" x14ac:dyDescent="0.3">
      <c r="E24" s="24" t="s">
        <v>60</v>
      </c>
      <c r="I24" s="100"/>
    </row>
    <row r="25" spans="2:9" ht="15.75" thickBot="1" x14ac:dyDescent="0.3">
      <c r="B25" s="10" t="s">
        <v>5</v>
      </c>
      <c r="C25" s="10" t="s">
        <v>55</v>
      </c>
      <c r="D25" s="11" t="s">
        <v>6</v>
      </c>
      <c r="E25" s="117" t="s">
        <v>7</v>
      </c>
      <c r="F25" s="118" t="s">
        <v>61</v>
      </c>
    </row>
    <row r="26" spans="2:9" x14ac:dyDescent="0.25">
      <c r="B26" s="296" t="s">
        <v>23</v>
      </c>
      <c r="C26" s="13" t="s">
        <v>51</v>
      </c>
      <c r="D26" s="288" t="s">
        <v>11</v>
      </c>
      <c r="E26" s="13">
        <v>15</v>
      </c>
      <c r="F26" s="124">
        <f>'Karnataka Site'!J28</f>
        <v>29659</v>
      </c>
      <c r="G26" s="7"/>
      <c r="H26" s="101"/>
    </row>
    <row r="27" spans="2:9" ht="15.75" thickBot="1" x14ac:dyDescent="0.3">
      <c r="B27" s="297"/>
      <c r="C27" s="17" t="s">
        <v>52</v>
      </c>
      <c r="D27" s="288"/>
      <c r="E27" s="93">
        <v>15</v>
      </c>
      <c r="F27" s="125">
        <f>'Karnataka Site'!J88</f>
        <v>31372</v>
      </c>
      <c r="H27" s="98"/>
    </row>
    <row r="28" spans="2:9" ht="15.75" thickBot="1" x14ac:dyDescent="0.3">
      <c r="B28" s="107" t="s">
        <v>21</v>
      </c>
      <c r="C28" s="92" t="s">
        <v>50</v>
      </c>
      <c r="D28" s="288"/>
      <c r="E28" s="17">
        <v>15</v>
      </c>
      <c r="F28" s="126">
        <f>'Karnataka Site'!J59</f>
        <v>34025</v>
      </c>
      <c r="H28" s="98"/>
    </row>
    <row r="29" spans="2:9" x14ac:dyDescent="0.25">
      <c r="B29" s="296" t="s">
        <v>24</v>
      </c>
      <c r="C29" s="13" t="s">
        <v>54</v>
      </c>
      <c r="D29" s="289" t="s">
        <v>13</v>
      </c>
      <c r="E29" s="13">
        <v>25</v>
      </c>
      <c r="F29" s="124">
        <f>'Punjab Site'!J60</f>
        <v>47957</v>
      </c>
      <c r="H29" s="99"/>
    </row>
    <row r="30" spans="2:9" ht="15.75" thickBot="1" x14ac:dyDescent="0.3">
      <c r="B30" s="297"/>
      <c r="C30" s="17" t="s">
        <v>53</v>
      </c>
      <c r="D30" s="290"/>
      <c r="E30" s="17">
        <v>25</v>
      </c>
      <c r="F30" s="128">
        <f>'Punjab Site'!J28</f>
        <v>49019</v>
      </c>
      <c r="G30" s="7"/>
      <c r="H30" s="99"/>
    </row>
    <row r="31" spans="2:9" x14ac:dyDescent="0.25">
      <c r="B31" s="296" t="s">
        <v>25</v>
      </c>
      <c r="C31" s="13" t="s">
        <v>33</v>
      </c>
      <c r="D31" s="291" t="s">
        <v>18</v>
      </c>
      <c r="E31" s="116">
        <v>8</v>
      </c>
      <c r="F31" s="132">
        <f>'Mytrah-Abhinav (TL)'!K28</f>
        <v>16951</v>
      </c>
      <c r="H31" s="99"/>
    </row>
    <row r="32" spans="2:9" x14ac:dyDescent="0.25">
      <c r="B32" s="298"/>
      <c r="C32" s="93" t="s">
        <v>34</v>
      </c>
      <c r="D32" s="291"/>
      <c r="E32" s="114">
        <v>8</v>
      </c>
      <c r="F32" s="133">
        <f>'Mytrah-Abhinav (TL)'!K61</f>
        <v>16907</v>
      </c>
    </row>
    <row r="33" spans="2:17" x14ac:dyDescent="0.25">
      <c r="B33" s="298"/>
      <c r="C33" s="93" t="s">
        <v>35</v>
      </c>
      <c r="D33" s="291"/>
      <c r="E33" s="114">
        <v>15</v>
      </c>
      <c r="F33" s="133">
        <f>'Mytrah-Abhinav (TL)'!K95</f>
        <v>27711</v>
      </c>
      <c r="G33" s="7"/>
    </row>
    <row r="34" spans="2:17" x14ac:dyDescent="0.25">
      <c r="B34" s="298"/>
      <c r="C34" s="93" t="s">
        <v>42</v>
      </c>
      <c r="D34" s="291"/>
      <c r="E34" s="114">
        <v>11</v>
      </c>
      <c r="F34" s="133">
        <f>'Mytrah-Abhinav (TL)'!K132</f>
        <v>23358</v>
      </c>
    </row>
    <row r="35" spans="2:17" x14ac:dyDescent="0.25">
      <c r="B35" s="298"/>
      <c r="C35" s="93" t="s">
        <v>40</v>
      </c>
      <c r="D35" s="291"/>
      <c r="E35" s="114">
        <v>15</v>
      </c>
      <c r="F35" s="133">
        <f>'Mytrah-Abhinav (TL)'!K165</f>
        <v>31283</v>
      </c>
    </row>
    <row r="36" spans="2:17" x14ac:dyDescent="0.25">
      <c r="B36" s="298"/>
      <c r="C36" s="93" t="s">
        <v>45</v>
      </c>
      <c r="D36" s="291"/>
      <c r="E36" s="114">
        <v>15</v>
      </c>
      <c r="F36" s="133">
        <f>'Mytrah-Abhinav (TL)'!K198</f>
        <v>25698</v>
      </c>
    </row>
    <row r="37" spans="2:17" ht="15.75" thickBot="1" x14ac:dyDescent="0.3">
      <c r="B37" s="297"/>
      <c r="C37" s="17" t="s">
        <v>49</v>
      </c>
      <c r="D37" s="291"/>
      <c r="E37" s="115">
        <v>15</v>
      </c>
      <c r="F37" s="134">
        <f>'Mytrah-Abhinav (TL)'!K228</f>
        <v>29919</v>
      </c>
    </row>
    <row r="38" spans="2:17" x14ac:dyDescent="0.25">
      <c r="B38" s="296" t="s">
        <v>26</v>
      </c>
      <c r="C38" s="13" t="s">
        <v>36</v>
      </c>
      <c r="D38" s="291"/>
      <c r="E38" s="13">
        <v>15</v>
      </c>
      <c r="F38" s="131">
        <f>'Mytrah-Adarsh (TL)'!J28</f>
        <v>32157</v>
      </c>
    </row>
    <row r="39" spans="2:17" x14ac:dyDescent="0.25">
      <c r="B39" s="298"/>
      <c r="C39" s="93" t="s">
        <v>37</v>
      </c>
      <c r="D39" s="291"/>
      <c r="E39" s="93">
        <v>15</v>
      </c>
      <c r="F39" s="125">
        <f>'Mytrah-Adarsh (TL)'!J58</f>
        <v>29262</v>
      </c>
    </row>
    <row r="40" spans="2:17" x14ac:dyDescent="0.25">
      <c r="B40" s="298"/>
      <c r="C40" s="93" t="s">
        <v>38</v>
      </c>
      <c r="D40" s="291"/>
      <c r="E40" s="93">
        <v>15</v>
      </c>
      <c r="F40" s="125">
        <f>'Mytrah-Adarsh (TL)'!J88</f>
        <v>24726</v>
      </c>
    </row>
    <row r="41" spans="2:17" x14ac:dyDescent="0.25">
      <c r="B41" s="298"/>
      <c r="C41" s="93" t="s">
        <v>39</v>
      </c>
      <c r="D41" s="291"/>
      <c r="E41" s="93">
        <v>15</v>
      </c>
      <c r="F41" s="125">
        <f>'Mytrah-Adarsh (TL)'!J118</f>
        <v>29314</v>
      </c>
    </row>
    <row r="42" spans="2:17" x14ac:dyDescent="0.25">
      <c r="B42" s="298"/>
      <c r="C42" s="93" t="s">
        <v>43</v>
      </c>
      <c r="D42" s="291"/>
      <c r="E42" s="93">
        <v>15</v>
      </c>
      <c r="F42" s="125">
        <f>'Mytrah-Adarsh (TL)'!J147</f>
        <v>29958</v>
      </c>
    </row>
    <row r="43" spans="2:17" ht="15.75" thickBot="1" x14ac:dyDescent="0.3">
      <c r="B43" s="297"/>
      <c r="C43" s="17" t="s">
        <v>44</v>
      </c>
      <c r="D43" s="291"/>
      <c r="E43" s="17">
        <v>15</v>
      </c>
      <c r="F43" s="126">
        <f>'Mytrah-Adarsh (TL)'!J177</f>
        <v>32567</v>
      </c>
    </row>
    <row r="44" spans="2:17" ht="15.75" thickBot="1" x14ac:dyDescent="0.3">
      <c r="B44" s="105" t="s">
        <v>27</v>
      </c>
      <c r="C44" s="106" t="s">
        <v>48</v>
      </c>
      <c r="D44" s="291"/>
      <c r="E44" s="106">
        <v>50</v>
      </c>
      <c r="F44" s="127">
        <f>'Mytrah-Agriya (TL)'!J28</f>
        <v>101228</v>
      </c>
    </row>
    <row r="45" spans="2:17" ht="15.75" thickBot="1" x14ac:dyDescent="0.3">
      <c r="B45" s="108" t="s">
        <v>28</v>
      </c>
      <c r="C45" s="12" t="s">
        <v>47</v>
      </c>
      <c r="D45" s="290"/>
      <c r="E45" s="12">
        <v>50</v>
      </c>
      <c r="F45" s="109">
        <f>'Mytrah-Aakash (TL)'!J27</f>
        <v>108756</v>
      </c>
    </row>
    <row r="46" spans="2:17" ht="15.75" thickBot="1" x14ac:dyDescent="0.3">
      <c r="N46" s="99"/>
      <c r="Q46" s="99"/>
    </row>
    <row r="47" spans="2:17" ht="15.75" thickBot="1" x14ac:dyDescent="0.3">
      <c r="B47" s="293" t="s">
        <v>8</v>
      </c>
      <c r="C47" s="294"/>
      <c r="D47" s="294"/>
      <c r="E47" s="294"/>
      <c r="F47" s="294"/>
      <c r="G47" s="294"/>
      <c r="H47" s="294"/>
      <c r="I47" s="294"/>
      <c r="J47" s="295"/>
      <c r="N47" s="99"/>
      <c r="Q47" s="99"/>
    </row>
    <row r="48" spans="2:17" ht="30.75" thickBot="1" x14ac:dyDescent="0.3">
      <c r="B48" s="10" t="s">
        <v>5</v>
      </c>
      <c r="C48" s="145" t="s">
        <v>105</v>
      </c>
      <c r="D48" s="144" t="s">
        <v>104</v>
      </c>
      <c r="E48" s="144" t="s">
        <v>101</v>
      </c>
      <c r="F48" s="144" t="s">
        <v>102</v>
      </c>
      <c r="G48" s="144" t="s">
        <v>103</v>
      </c>
      <c r="H48" s="144" t="s">
        <v>106</v>
      </c>
      <c r="I48" s="144" t="s">
        <v>107</v>
      </c>
      <c r="J48" s="146" t="s">
        <v>62</v>
      </c>
      <c r="N48" s="99"/>
      <c r="Q48" s="99"/>
    </row>
    <row r="49" spans="2:17" x14ac:dyDescent="0.25">
      <c r="B49" s="292" t="s">
        <v>9</v>
      </c>
      <c r="C49" s="147">
        <v>15</v>
      </c>
      <c r="D49" s="8">
        <v>24003</v>
      </c>
      <c r="E49" s="155">
        <v>44652</v>
      </c>
      <c r="F49" s="155">
        <v>45107</v>
      </c>
      <c r="G49" s="2">
        <f>F49-E49+1</f>
        <v>456</v>
      </c>
      <c r="H49" s="4">
        <f>((D49/365)*G49)</f>
        <v>29987.309589041095</v>
      </c>
      <c r="I49" s="4">
        <f t="shared" ref="I49:I68" si="0">F26</f>
        <v>29659</v>
      </c>
      <c r="J49" s="94">
        <f>(I49-H49)/H49</f>
        <v>-1.0948284242247468E-2</v>
      </c>
      <c r="N49" s="100"/>
      <c r="Q49" s="102"/>
    </row>
    <row r="50" spans="2:17" ht="15.75" thickBot="1" x14ac:dyDescent="0.3">
      <c r="B50" s="284"/>
      <c r="C50" s="148">
        <v>15</v>
      </c>
      <c r="D50" s="9">
        <v>24003</v>
      </c>
      <c r="E50" s="156">
        <f t="shared" ref="E50:F53" si="1">E49</f>
        <v>44652</v>
      </c>
      <c r="F50" s="156">
        <f t="shared" si="1"/>
        <v>45107</v>
      </c>
      <c r="G50" s="16">
        <f>F50-E50+1</f>
        <v>456</v>
      </c>
      <c r="H50" s="23">
        <f>((D50/365)*G50)</f>
        <v>29987.309589041095</v>
      </c>
      <c r="I50" s="23">
        <f t="shared" si="0"/>
        <v>31372</v>
      </c>
      <c r="J50" s="95">
        <f t="shared" ref="J50:J69" si="2">(I50-H50)/H50</f>
        <v>4.6175880061775934E-2</v>
      </c>
    </row>
    <row r="51" spans="2:17" ht="15.75" thickBot="1" x14ac:dyDescent="0.3">
      <c r="B51" s="129" t="s">
        <v>10</v>
      </c>
      <c r="C51" s="149">
        <v>15</v>
      </c>
      <c r="D51" s="150">
        <v>24003</v>
      </c>
      <c r="E51" s="157">
        <f t="shared" si="1"/>
        <v>44652</v>
      </c>
      <c r="F51" s="157">
        <f t="shared" si="1"/>
        <v>45107</v>
      </c>
      <c r="G51" s="151">
        <f t="shared" ref="G51:G68" si="3">F51-E51+1</f>
        <v>456</v>
      </c>
      <c r="H51" s="152">
        <f>(D51/365)*G51</f>
        <v>29987.309589041095</v>
      </c>
      <c r="I51" s="152">
        <f t="shared" si="0"/>
        <v>34025</v>
      </c>
      <c r="J51" s="153">
        <f t="shared" si="2"/>
        <v>0.1346466377375343</v>
      </c>
    </row>
    <row r="52" spans="2:17" x14ac:dyDescent="0.25">
      <c r="B52" s="283" t="s">
        <v>12</v>
      </c>
      <c r="C52" s="147">
        <v>25</v>
      </c>
      <c r="D52" s="8">
        <v>40006</v>
      </c>
      <c r="E52" s="155">
        <f t="shared" ref="E52" si="4">E51</f>
        <v>44652</v>
      </c>
      <c r="F52" s="155">
        <f t="shared" si="1"/>
        <v>45107</v>
      </c>
      <c r="G52" s="2">
        <f t="shared" si="3"/>
        <v>456</v>
      </c>
      <c r="H52" s="4">
        <f t="shared" ref="H52:H68" si="5">(D52/365)*G52</f>
        <v>49980.098630136985</v>
      </c>
      <c r="I52" s="4">
        <f t="shared" si="0"/>
        <v>47957</v>
      </c>
      <c r="J52" s="94">
        <f t="shared" si="2"/>
        <v>-4.0478083989155984E-2</v>
      </c>
    </row>
    <row r="53" spans="2:17" ht="15.75" thickBot="1" x14ac:dyDescent="0.3">
      <c r="B53" s="284"/>
      <c r="C53" s="148">
        <v>25</v>
      </c>
      <c r="D53" s="9">
        <v>40006</v>
      </c>
      <c r="E53" s="156">
        <f t="shared" ref="E53" si="6">E52</f>
        <v>44652</v>
      </c>
      <c r="F53" s="156">
        <f t="shared" si="1"/>
        <v>45107</v>
      </c>
      <c r="G53" s="16">
        <f t="shared" si="3"/>
        <v>456</v>
      </c>
      <c r="H53" s="23">
        <f t="shared" si="5"/>
        <v>49980.098630136985</v>
      </c>
      <c r="I53" s="23">
        <f t="shared" si="0"/>
        <v>49019</v>
      </c>
      <c r="J53" s="95">
        <f t="shared" si="2"/>
        <v>-1.9229626520934111E-2</v>
      </c>
    </row>
    <row r="54" spans="2:17" x14ac:dyDescent="0.25">
      <c r="B54" s="283" t="s">
        <v>14</v>
      </c>
      <c r="C54" s="147">
        <v>8</v>
      </c>
      <c r="D54" s="8">
        <v>13595</v>
      </c>
      <c r="E54" s="155">
        <f t="shared" ref="E54" si="7">E53</f>
        <v>44652</v>
      </c>
      <c r="F54" s="155">
        <f t="shared" ref="F54" si="8">F53</f>
        <v>45107</v>
      </c>
      <c r="G54" s="2">
        <f t="shared" si="3"/>
        <v>456</v>
      </c>
      <c r="H54" s="4">
        <f t="shared" si="5"/>
        <v>16984.438356164384</v>
      </c>
      <c r="I54" s="4">
        <f>F31</f>
        <v>16951</v>
      </c>
      <c r="J54" s="94">
        <f t="shared" si="2"/>
        <v>-1.9687643160863333E-3</v>
      </c>
    </row>
    <row r="55" spans="2:17" x14ac:dyDescent="0.25">
      <c r="B55" s="285"/>
      <c r="C55" s="154">
        <v>8</v>
      </c>
      <c r="D55" s="6">
        <v>14304</v>
      </c>
      <c r="E55" s="158">
        <f t="shared" ref="E55" si="9">E54</f>
        <v>44652</v>
      </c>
      <c r="F55" s="158">
        <f t="shared" ref="F55" si="10">F54</f>
        <v>45107</v>
      </c>
      <c r="G55" s="3">
        <f t="shared" si="3"/>
        <v>456</v>
      </c>
      <c r="H55" s="96">
        <f>(D55/365)*G55</f>
        <v>17870.202739726028</v>
      </c>
      <c r="I55" s="96">
        <f t="shared" si="0"/>
        <v>16907</v>
      </c>
      <c r="J55" s="97">
        <f t="shared" si="2"/>
        <v>-5.389993352368621E-2</v>
      </c>
    </row>
    <row r="56" spans="2:17" x14ac:dyDescent="0.25">
      <c r="B56" s="285"/>
      <c r="C56" s="154">
        <v>15</v>
      </c>
      <c r="D56" s="6">
        <v>26710</v>
      </c>
      <c r="E56" s="158">
        <f t="shared" ref="E56" si="11">E55</f>
        <v>44652</v>
      </c>
      <c r="F56" s="158">
        <f t="shared" ref="F56" si="12">F55</f>
        <v>45107</v>
      </c>
      <c r="G56" s="3">
        <f t="shared" si="3"/>
        <v>456</v>
      </c>
      <c r="H56" s="96">
        <f t="shared" si="5"/>
        <v>33369.205479452052</v>
      </c>
      <c r="I56" s="96">
        <f t="shared" si="0"/>
        <v>27711</v>
      </c>
      <c r="J56" s="97">
        <f t="shared" si="2"/>
        <v>-0.16956368598396021</v>
      </c>
    </row>
    <row r="57" spans="2:17" x14ac:dyDescent="0.25">
      <c r="B57" s="285"/>
      <c r="C57" s="154">
        <v>11</v>
      </c>
      <c r="D57" s="6">
        <v>19859</v>
      </c>
      <c r="E57" s="158">
        <f t="shared" ref="E57" si="13">E56</f>
        <v>44652</v>
      </c>
      <c r="F57" s="158">
        <f t="shared" ref="F57" si="14">F56</f>
        <v>45107</v>
      </c>
      <c r="G57" s="3">
        <f t="shared" si="3"/>
        <v>456</v>
      </c>
      <c r="H57" s="96">
        <f t="shared" si="5"/>
        <v>24810.147945205481</v>
      </c>
      <c r="I57" s="96">
        <f t="shared" si="0"/>
        <v>23358</v>
      </c>
      <c r="J57" s="97">
        <f t="shared" si="2"/>
        <v>-5.8530402495487986E-2</v>
      </c>
    </row>
    <row r="58" spans="2:17" x14ac:dyDescent="0.25">
      <c r="B58" s="285"/>
      <c r="C58" s="154">
        <v>15</v>
      </c>
      <c r="D58" s="6">
        <v>26710</v>
      </c>
      <c r="E58" s="158">
        <f t="shared" ref="E58" si="15">E57</f>
        <v>44652</v>
      </c>
      <c r="F58" s="158">
        <f t="shared" ref="F58" si="16">F57</f>
        <v>45107</v>
      </c>
      <c r="G58" s="3">
        <f t="shared" si="3"/>
        <v>456</v>
      </c>
      <c r="H58" s="96">
        <f t="shared" si="5"/>
        <v>33369.205479452052</v>
      </c>
      <c r="I58" s="96">
        <f t="shared" si="0"/>
        <v>31283</v>
      </c>
      <c r="J58" s="97">
        <f t="shared" si="2"/>
        <v>-6.2518883787529386E-2</v>
      </c>
    </row>
    <row r="59" spans="2:17" x14ac:dyDescent="0.25">
      <c r="B59" s="285"/>
      <c r="C59" s="154">
        <v>15</v>
      </c>
      <c r="D59" s="6">
        <v>26341</v>
      </c>
      <c r="E59" s="158">
        <f t="shared" ref="E59" si="17">E58</f>
        <v>44652</v>
      </c>
      <c r="F59" s="158">
        <f t="shared" ref="F59" si="18">F58</f>
        <v>45107</v>
      </c>
      <c r="G59" s="3">
        <f t="shared" si="3"/>
        <v>456</v>
      </c>
      <c r="H59" s="96">
        <f t="shared" si="5"/>
        <v>32908.208219178079</v>
      </c>
      <c r="I59" s="96">
        <f t="shared" si="0"/>
        <v>25698</v>
      </c>
      <c r="J59" s="97">
        <f t="shared" si="2"/>
        <v>-0.21910060162364448</v>
      </c>
      <c r="M59" s="103"/>
      <c r="N59" s="104"/>
    </row>
    <row r="60" spans="2:17" ht="15.75" thickBot="1" x14ac:dyDescent="0.3">
      <c r="B60" s="284"/>
      <c r="C60" s="148">
        <v>15</v>
      </c>
      <c r="D60" s="9">
        <v>26341</v>
      </c>
      <c r="E60" s="156">
        <f t="shared" ref="E60" si="19">E59</f>
        <v>44652</v>
      </c>
      <c r="F60" s="156">
        <f t="shared" ref="F60" si="20">F59</f>
        <v>45107</v>
      </c>
      <c r="G60" s="16">
        <f t="shared" si="3"/>
        <v>456</v>
      </c>
      <c r="H60" s="23">
        <f t="shared" si="5"/>
        <v>32908.208219178079</v>
      </c>
      <c r="I60" s="23">
        <f t="shared" si="0"/>
        <v>29919</v>
      </c>
      <c r="J60" s="95">
        <f t="shared" si="2"/>
        <v>-9.0834730328345367E-2</v>
      </c>
    </row>
    <row r="61" spans="2:17" x14ac:dyDescent="0.25">
      <c r="B61" s="283" t="s">
        <v>15</v>
      </c>
      <c r="C61" s="147">
        <v>15</v>
      </c>
      <c r="D61" s="8">
        <v>26440</v>
      </c>
      <c r="E61" s="155">
        <f t="shared" ref="E61" si="21">E60</f>
        <v>44652</v>
      </c>
      <c r="F61" s="155">
        <f t="shared" ref="F61" si="22">F60</f>
        <v>45107</v>
      </c>
      <c r="G61" s="2">
        <f t="shared" si="3"/>
        <v>456</v>
      </c>
      <c r="H61" s="4">
        <f t="shared" si="5"/>
        <v>33031.890410958906</v>
      </c>
      <c r="I61" s="4">
        <f t="shared" si="0"/>
        <v>32157</v>
      </c>
      <c r="J61" s="94">
        <f t="shared" si="2"/>
        <v>-2.6486234970937224E-2</v>
      </c>
      <c r="N61" s="104"/>
    </row>
    <row r="62" spans="2:17" x14ac:dyDescent="0.25">
      <c r="B62" s="285"/>
      <c r="C62" s="154">
        <v>15</v>
      </c>
      <c r="D62" s="6">
        <v>26440</v>
      </c>
      <c r="E62" s="158">
        <f t="shared" ref="E62" si="23">E61</f>
        <v>44652</v>
      </c>
      <c r="F62" s="158">
        <f t="shared" ref="F62" si="24">F61</f>
        <v>45107</v>
      </c>
      <c r="G62" s="3">
        <f t="shared" si="3"/>
        <v>456</v>
      </c>
      <c r="H62" s="96">
        <f>(D62/365)*G62</f>
        <v>33031.890410958906</v>
      </c>
      <c r="I62" s="96">
        <f t="shared" si="0"/>
        <v>29262</v>
      </c>
      <c r="J62" s="97">
        <f t="shared" si="2"/>
        <v>-0.11412881200732547</v>
      </c>
      <c r="N62" s="104"/>
    </row>
    <row r="63" spans="2:17" x14ac:dyDescent="0.25">
      <c r="B63" s="285"/>
      <c r="C63" s="154">
        <v>15</v>
      </c>
      <c r="D63" s="6">
        <v>26588</v>
      </c>
      <c r="E63" s="158">
        <f t="shared" ref="E63" si="25">E62</f>
        <v>44652</v>
      </c>
      <c r="F63" s="158">
        <f t="shared" ref="F63" si="26">F62</f>
        <v>45107</v>
      </c>
      <c r="G63" s="3">
        <f t="shared" si="3"/>
        <v>456</v>
      </c>
      <c r="H63" s="96">
        <f t="shared" si="5"/>
        <v>33216.789041095893</v>
      </c>
      <c r="I63" s="96">
        <f t="shared" si="0"/>
        <v>24726</v>
      </c>
      <c r="J63" s="97">
        <f t="shared" si="2"/>
        <v>-0.25561739367977648</v>
      </c>
    </row>
    <row r="64" spans="2:17" x14ac:dyDescent="0.25">
      <c r="B64" s="285"/>
      <c r="C64" s="154">
        <v>15</v>
      </c>
      <c r="D64" s="6">
        <v>26440</v>
      </c>
      <c r="E64" s="158">
        <f t="shared" ref="E64" si="27">E63</f>
        <v>44652</v>
      </c>
      <c r="F64" s="158">
        <f t="shared" ref="F64" si="28">F63</f>
        <v>45107</v>
      </c>
      <c r="G64" s="3">
        <f t="shared" si="3"/>
        <v>456</v>
      </c>
      <c r="H64" s="96">
        <f t="shared" si="5"/>
        <v>33031.890410958906</v>
      </c>
      <c r="I64" s="96">
        <f t="shared" si="0"/>
        <v>29314</v>
      </c>
      <c r="J64" s="97">
        <f t="shared" si="2"/>
        <v>-0.11255457573586011</v>
      </c>
    </row>
    <row r="65" spans="2:10" x14ac:dyDescent="0.25">
      <c r="B65" s="285"/>
      <c r="C65" s="154">
        <v>15</v>
      </c>
      <c r="D65" s="6">
        <v>26440</v>
      </c>
      <c r="E65" s="158">
        <f t="shared" ref="E65" si="29">E64</f>
        <v>44652</v>
      </c>
      <c r="F65" s="158">
        <f t="shared" ref="F65" si="30">F64</f>
        <v>45107</v>
      </c>
      <c r="G65" s="3">
        <f t="shared" si="3"/>
        <v>456</v>
      </c>
      <c r="H65" s="96">
        <f t="shared" si="5"/>
        <v>33031.890410958906</v>
      </c>
      <c r="I65" s="96">
        <f t="shared" si="0"/>
        <v>29958</v>
      </c>
      <c r="J65" s="97">
        <f t="shared" si="2"/>
        <v>-9.305826498925078E-2</v>
      </c>
    </row>
    <row r="66" spans="2:10" ht="15.75" thickBot="1" x14ac:dyDescent="0.3">
      <c r="B66" s="284"/>
      <c r="C66" s="148">
        <v>15</v>
      </c>
      <c r="D66" s="9">
        <v>26440</v>
      </c>
      <c r="E66" s="156">
        <f t="shared" ref="E66" si="31">E65</f>
        <v>44652</v>
      </c>
      <c r="F66" s="156">
        <f t="shared" ref="F66" si="32">F65</f>
        <v>45107</v>
      </c>
      <c r="G66" s="16">
        <f t="shared" si="3"/>
        <v>456</v>
      </c>
      <c r="H66" s="23">
        <f t="shared" si="5"/>
        <v>33031.890410958906</v>
      </c>
      <c r="I66" s="23">
        <f t="shared" si="0"/>
        <v>32567</v>
      </c>
      <c r="J66" s="95">
        <f t="shared" si="2"/>
        <v>-1.4073987445921962E-2</v>
      </c>
    </row>
    <row r="67" spans="2:10" ht="15.75" thickBot="1" x14ac:dyDescent="0.3">
      <c r="B67" s="129" t="s">
        <v>16</v>
      </c>
      <c r="C67" s="149">
        <v>50</v>
      </c>
      <c r="D67" s="150">
        <v>87479</v>
      </c>
      <c r="E67" s="157">
        <f t="shared" ref="E67" si="33">E66</f>
        <v>44652</v>
      </c>
      <c r="F67" s="157">
        <f t="shared" ref="F67" si="34">F66</f>
        <v>45107</v>
      </c>
      <c r="G67" s="151">
        <f t="shared" si="3"/>
        <v>456</v>
      </c>
      <c r="H67" s="152">
        <f t="shared" si="5"/>
        <v>109288.83287671233</v>
      </c>
      <c r="I67" s="152">
        <f t="shared" si="0"/>
        <v>101228</v>
      </c>
      <c r="J67" s="153">
        <f t="shared" si="2"/>
        <v>-7.3757150337634941E-2</v>
      </c>
    </row>
    <row r="68" spans="2:10" ht="15.75" thickBot="1" x14ac:dyDescent="0.3">
      <c r="B68" s="129" t="s">
        <v>17</v>
      </c>
      <c r="C68" s="149">
        <v>50</v>
      </c>
      <c r="D68" s="150">
        <v>86372</v>
      </c>
      <c r="E68" s="157">
        <f t="shared" ref="E68:E69" si="35">E67</f>
        <v>44652</v>
      </c>
      <c r="F68" s="157">
        <f t="shared" ref="F68:F69" si="36">F67</f>
        <v>45107</v>
      </c>
      <c r="G68" s="151">
        <f t="shared" si="3"/>
        <v>456</v>
      </c>
      <c r="H68" s="152">
        <f t="shared" si="5"/>
        <v>107905.8410958904</v>
      </c>
      <c r="I68" s="152">
        <f t="shared" si="0"/>
        <v>108756</v>
      </c>
      <c r="J68" s="153">
        <f t="shared" si="2"/>
        <v>7.8787106932803434E-3</v>
      </c>
    </row>
    <row r="69" spans="2:10" ht="16.5" thickBot="1" x14ac:dyDescent="0.3">
      <c r="B69" s="135" t="s">
        <v>3</v>
      </c>
      <c r="C69" s="136">
        <f>SUM(C49:C68)</f>
        <v>372</v>
      </c>
      <c r="D69" s="137">
        <f>SUM(D49:D68)</f>
        <v>638520</v>
      </c>
      <c r="E69" s="159">
        <f t="shared" si="35"/>
        <v>44652</v>
      </c>
      <c r="F69" s="159">
        <f t="shared" si="36"/>
        <v>45107</v>
      </c>
      <c r="G69" s="138">
        <v>456</v>
      </c>
      <c r="H69" s="137">
        <f>ROUNDDOWN(SUM(H49:H68),0)</f>
        <v>797712</v>
      </c>
      <c r="I69" s="137">
        <f>SUM(I49:I68)</f>
        <v>751827</v>
      </c>
      <c r="J69" s="139">
        <f t="shared" si="2"/>
        <v>-5.7520759371803357E-2</v>
      </c>
    </row>
    <row r="72" spans="2:10" x14ac:dyDescent="0.25">
      <c r="C72" s="281" t="s">
        <v>109</v>
      </c>
      <c r="D72" s="281"/>
      <c r="E72" s="281"/>
      <c r="F72" s="281"/>
      <c r="G72" s="281"/>
    </row>
    <row r="73" spans="2:10" x14ac:dyDescent="0.25">
      <c r="C73" s="171" t="s">
        <v>141</v>
      </c>
      <c r="D73" s="171" t="s">
        <v>108</v>
      </c>
      <c r="E73" s="171" t="s">
        <v>13</v>
      </c>
      <c r="F73" s="171" t="s">
        <v>18</v>
      </c>
      <c r="G73" s="171" t="s">
        <v>3</v>
      </c>
    </row>
    <row r="74" spans="2:10" x14ac:dyDescent="0.25">
      <c r="C74" s="171">
        <v>2022</v>
      </c>
      <c r="D74" s="96">
        <f>'Karnataka Site'!M20</f>
        <v>51043</v>
      </c>
      <c r="E74" s="96">
        <f>'Punjab Site'!J20+'Punjab Site'!J52</f>
        <v>56339</v>
      </c>
      <c r="F74" s="96">
        <f>'Mytrah-Abhinav (TL)'!N11+'Mytrah-Adarsh (TL)'!O11+'Mytrah-Agriya (TL)'!J19+'Mytrah-Aakash (TL)'!J19</f>
        <v>301153</v>
      </c>
      <c r="G74" s="96">
        <f>D74+E74+F74</f>
        <v>408535</v>
      </c>
    </row>
    <row r="75" spans="2:10" x14ac:dyDescent="0.25">
      <c r="C75" s="171">
        <v>2023</v>
      </c>
      <c r="D75" s="96">
        <f>'Karnataka Site'!M21</f>
        <v>44013</v>
      </c>
      <c r="E75" s="96">
        <f>'Punjab Site'!J27+'Punjab Site'!J59</f>
        <v>40637</v>
      </c>
      <c r="F75" s="96">
        <f>'Mytrah-Abhinav (TL)'!N12+'Mytrah-Adarsh (TL)'!O12+'Mytrah-Agriya (TL)'!J27+'Mytrah-Aakash (TL)'!J26</f>
        <v>258642</v>
      </c>
      <c r="G75" s="96">
        <f>D75+E75+F75</f>
        <v>343292</v>
      </c>
    </row>
    <row r="76" spans="2:10" x14ac:dyDescent="0.25">
      <c r="C76" s="171" t="s">
        <v>3</v>
      </c>
      <c r="D76" s="96">
        <f>D74+D75</f>
        <v>95056</v>
      </c>
      <c r="E76" s="96">
        <f>E74+E75</f>
        <v>96976</v>
      </c>
      <c r="F76" s="96">
        <f>F74+F75</f>
        <v>559795</v>
      </c>
      <c r="G76" s="96">
        <f>G74+G75</f>
        <v>751827</v>
      </c>
    </row>
    <row r="79" spans="2:10" x14ac:dyDescent="0.25">
      <c r="C79" s="281" t="s">
        <v>140</v>
      </c>
      <c r="D79" s="281"/>
      <c r="E79" s="281"/>
      <c r="F79" s="281"/>
      <c r="G79" s="281"/>
    </row>
    <row r="80" spans="2:10" x14ac:dyDescent="0.25">
      <c r="C80" s="171" t="s">
        <v>141</v>
      </c>
      <c r="D80" s="171" t="s">
        <v>108</v>
      </c>
      <c r="E80" s="171" t="s">
        <v>13</v>
      </c>
      <c r="F80" s="171" t="s">
        <v>18</v>
      </c>
      <c r="G80" s="171" t="s">
        <v>3</v>
      </c>
    </row>
    <row r="81" spans="3:8" x14ac:dyDescent="0.25">
      <c r="C81" s="171">
        <v>2022</v>
      </c>
      <c r="D81" s="96">
        <f>'Karnataka Site'!M24</f>
        <v>54488.115000000005</v>
      </c>
      <c r="E81" s="96">
        <f>'Punjab Site'!H20+'Punjab Site'!H52</f>
        <v>60140.813549999992</v>
      </c>
      <c r="F81" s="96">
        <f>'Mytrah-Abhinav (TL)'!N14+'Mytrah-Adarsh (TL)'!O15+'Mytrah-Agriya (TL)'!H19+'Mytrah-Aakash (TL)'!H19</f>
        <v>321477.83713709679</v>
      </c>
      <c r="G81" s="96">
        <f>D81+E81+F81</f>
        <v>436106.76568709681</v>
      </c>
    </row>
    <row r="82" spans="3:8" x14ac:dyDescent="0.25">
      <c r="C82" s="171">
        <v>2023</v>
      </c>
      <c r="D82" s="96">
        <f>'Karnataka Site'!M25</f>
        <v>46984.625650000002</v>
      </c>
      <c r="E82" s="96">
        <f>'Punjab Site'!H27+'Punjab Site'!H59</f>
        <v>43379.948542551021</v>
      </c>
      <c r="F82" s="96">
        <f>'Mytrah-Aakash (TL)'!H26+'Mytrah-Agriya (TL)'!H27+'Mytrah-Adarsh (TL)'!O16+'Mytrah-Abhinav (TL)'!N15</f>
        <v>276098.9035129032</v>
      </c>
      <c r="G82" s="96">
        <f>D82+E82+F82</f>
        <v>366463.47770545422</v>
      </c>
    </row>
    <row r="83" spans="3:8" x14ac:dyDescent="0.25">
      <c r="C83" s="171" t="s">
        <v>3</v>
      </c>
      <c r="D83" s="96">
        <f>D81+D82</f>
        <v>101472.74065000001</v>
      </c>
      <c r="E83" s="96">
        <f>E81+E82</f>
        <v>103520.76209255101</v>
      </c>
      <c r="F83" s="96">
        <f t="shared" ref="F83" si="37">F81+F82</f>
        <v>597576.74065000005</v>
      </c>
      <c r="G83" s="96">
        <f>ROUNDDOWN((G81+G82),0)</f>
        <v>802570</v>
      </c>
    </row>
    <row r="87" spans="3:8" x14ac:dyDescent="0.25">
      <c r="C87" s="280" t="s">
        <v>142</v>
      </c>
      <c r="D87" s="280"/>
      <c r="E87" s="280"/>
      <c r="F87" s="280"/>
      <c r="G87" s="221"/>
      <c r="H87" s="221"/>
    </row>
    <row r="88" spans="3:8" x14ac:dyDescent="0.25">
      <c r="C88" s="280"/>
      <c r="D88" s="280"/>
      <c r="E88" s="280"/>
      <c r="F88" s="280"/>
      <c r="G88" s="221"/>
      <c r="H88" s="221"/>
    </row>
    <row r="89" spans="3:8" x14ac:dyDescent="0.25">
      <c r="C89" s="280"/>
      <c r="D89" s="280"/>
      <c r="E89" s="280"/>
      <c r="F89" s="280"/>
      <c r="G89" s="221"/>
      <c r="H89" s="221"/>
    </row>
    <row r="90" spans="3:8" x14ac:dyDescent="0.25">
      <c r="C90" s="280"/>
      <c r="D90" s="280"/>
      <c r="E90" s="280"/>
      <c r="F90" s="280"/>
      <c r="G90" s="221"/>
      <c r="H90" s="221"/>
    </row>
    <row r="91" spans="3:8" x14ac:dyDescent="0.25">
      <c r="C91" s="280"/>
      <c r="D91" s="280"/>
      <c r="E91" s="280"/>
      <c r="F91" s="280"/>
      <c r="G91" s="221"/>
      <c r="H91" s="221"/>
    </row>
  </sheetData>
  <mergeCells count="25">
    <mergeCell ref="C7:E7"/>
    <mergeCell ref="C2:E2"/>
    <mergeCell ref="C3:E3"/>
    <mergeCell ref="C4:E4"/>
    <mergeCell ref="C5:E5"/>
    <mergeCell ref="C6:E6"/>
    <mergeCell ref="C8:E8"/>
    <mergeCell ref="C72:G72"/>
    <mergeCell ref="B61:B66"/>
    <mergeCell ref="D26:D28"/>
    <mergeCell ref="D29:D30"/>
    <mergeCell ref="D31:D45"/>
    <mergeCell ref="B49:B50"/>
    <mergeCell ref="B47:J47"/>
    <mergeCell ref="B26:B27"/>
    <mergeCell ref="B29:B30"/>
    <mergeCell ref="B31:B37"/>
    <mergeCell ref="B38:B43"/>
    <mergeCell ref="B13:B14"/>
    <mergeCell ref="C13:C14"/>
    <mergeCell ref="C87:F91"/>
    <mergeCell ref="C79:G79"/>
    <mergeCell ref="F23:G23"/>
    <mergeCell ref="B52:B53"/>
    <mergeCell ref="B54:B6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B1:P103"/>
  <sheetViews>
    <sheetView tabSelected="1" zoomScaleNormal="100" workbookViewId="0">
      <selection activeCell="G30" sqref="G30"/>
    </sheetView>
  </sheetViews>
  <sheetFormatPr defaultColWidth="20.140625" defaultRowHeight="15" x14ac:dyDescent="0.25"/>
  <cols>
    <col min="1" max="1" width="8.42578125" style="24" customWidth="1"/>
    <col min="2" max="2" width="17.28515625" style="24" bestFit="1" customWidth="1"/>
    <col min="3" max="3" width="10.28515625" style="24" bestFit="1" customWidth="1"/>
    <col min="4" max="4" width="15.28515625" style="24" customWidth="1"/>
    <col min="5" max="5" width="13.42578125" style="24" customWidth="1"/>
    <col min="6" max="6" width="18.7109375" style="24" customWidth="1"/>
    <col min="7" max="7" width="18" style="24" bestFit="1" customWidth="1"/>
    <col min="8" max="8" width="20.140625" style="24"/>
    <col min="9" max="9" width="14.85546875" style="24" bestFit="1" customWidth="1"/>
    <col min="10" max="10" width="19.42578125" style="24" bestFit="1" customWidth="1"/>
    <col min="11" max="11" width="17.28515625" style="24" customWidth="1"/>
    <col min="12" max="12" width="21.28515625" style="24" customWidth="1"/>
    <col min="13" max="16384" width="20.140625" style="24"/>
  </cols>
  <sheetData>
    <row r="1" spans="2:11" ht="15.75" thickBot="1" x14ac:dyDescent="0.3"/>
    <row r="2" spans="2:11" x14ac:dyDescent="0.25">
      <c r="B2" s="315" t="s">
        <v>57</v>
      </c>
      <c r="C2" s="316"/>
      <c r="D2" s="316"/>
      <c r="E2" s="316"/>
      <c r="F2" s="317"/>
      <c r="G2" s="18">
        <f>15+15+15</f>
        <v>45</v>
      </c>
      <c r="J2" s="73"/>
      <c r="K2" s="73"/>
    </row>
    <row r="3" spans="2:11" x14ac:dyDescent="0.25">
      <c r="B3" s="321" t="s">
        <v>58</v>
      </c>
      <c r="C3" s="322"/>
      <c r="D3" s="322"/>
      <c r="E3" s="322"/>
      <c r="F3" s="323"/>
      <c r="G3" s="19">
        <f>H28+H59+H88</f>
        <v>101472.74065000002</v>
      </c>
      <c r="J3" s="7"/>
      <c r="K3" s="7"/>
    </row>
    <row r="4" spans="2:11" ht="15.75" thickBot="1" x14ac:dyDescent="0.3">
      <c r="B4" s="318" t="s">
        <v>59</v>
      </c>
      <c r="C4" s="319"/>
      <c r="D4" s="319"/>
      <c r="E4" s="319"/>
      <c r="F4" s="320"/>
      <c r="G4" s="20">
        <f>J28+J59+J88</f>
        <v>95056</v>
      </c>
      <c r="J4" s="7"/>
      <c r="K4" s="7"/>
    </row>
    <row r="5" spans="2:11" ht="15.75" thickBot="1" x14ac:dyDescent="0.3"/>
    <row r="6" spans="2:11" ht="15.75" thickBot="1" x14ac:dyDescent="0.3">
      <c r="B6" s="328" t="s">
        <v>63</v>
      </c>
      <c r="C6" s="329"/>
      <c r="D6" s="328" t="s">
        <v>80</v>
      </c>
      <c r="E6" s="344"/>
      <c r="F6" s="329"/>
      <c r="G6" s="309"/>
      <c r="H6" s="309"/>
      <c r="I6" s="309"/>
      <c r="J6" s="310"/>
    </row>
    <row r="7" spans="2:11" ht="15.75" thickBot="1" x14ac:dyDescent="0.3">
      <c r="B7" s="324" t="s">
        <v>67</v>
      </c>
      <c r="C7" s="325"/>
      <c r="D7" s="324" t="s">
        <v>51</v>
      </c>
      <c r="E7" s="335"/>
      <c r="F7" s="336"/>
      <c r="G7" s="311"/>
      <c r="H7" s="311"/>
      <c r="I7" s="311"/>
      <c r="J7" s="312"/>
    </row>
    <row r="8" spans="2:11" ht="15.75" thickBot="1" x14ac:dyDescent="0.3">
      <c r="B8" s="326" t="s">
        <v>31</v>
      </c>
      <c r="C8" s="327"/>
      <c r="D8" s="332" t="s">
        <v>29</v>
      </c>
      <c r="E8" s="333"/>
      <c r="F8" s="334"/>
      <c r="G8" s="313"/>
      <c r="H8" s="313"/>
      <c r="I8" s="313"/>
      <c r="J8" s="314"/>
    </row>
    <row r="9" spans="2:11" ht="15.75" thickBot="1" x14ac:dyDescent="0.3">
      <c r="B9" s="328" t="s">
        <v>74</v>
      </c>
      <c r="C9" s="329"/>
      <c r="D9" s="337" t="s">
        <v>76</v>
      </c>
      <c r="E9" s="338"/>
      <c r="F9" s="339"/>
      <c r="G9" s="64"/>
      <c r="H9" s="64"/>
      <c r="I9" s="64"/>
      <c r="J9" s="65"/>
    </row>
    <row r="10" spans="2:11" ht="45.75" thickBot="1" x14ac:dyDescent="0.3">
      <c r="B10" s="326" t="s">
        <v>0</v>
      </c>
      <c r="C10" s="327"/>
      <c r="D10" s="43" t="s">
        <v>72</v>
      </c>
      <c r="E10" s="44" t="s">
        <v>73</v>
      </c>
      <c r="F10" s="45" t="s">
        <v>146</v>
      </c>
      <c r="G10" s="44" t="s">
        <v>68</v>
      </c>
      <c r="H10" s="44" t="s">
        <v>69</v>
      </c>
      <c r="I10" s="44" t="s">
        <v>1</v>
      </c>
      <c r="J10" s="45" t="s">
        <v>2</v>
      </c>
      <c r="K10" s="279"/>
    </row>
    <row r="11" spans="2:11" x14ac:dyDescent="0.25">
      <c r="B11" s="38">
        <v>44652</v>
      </c>
      <c r="C11" s="51">
        <v>44681</v>
      </c>
      <c r="D11" s="37">
        <v>2186100</v>
      </c>
      <c r="E11" s="14">
        <v>7200</v>
      </c>
      <c r="F11" s="273">
        <f>D11-(115%*E11)</f>
        <v>2177820</v>
      </c>
      <c r="G11" s="22">
        <v>2177820</v>
      </c>
      <c r="H11" s="22">
        <f>(MIN(F11,G11))/1000</f>
        <v>2177.8200000000002</v>
      </c>
      <c r="I11" s="35">
        <v>0.93679999999999997</v>
      </c>
      <c r="J11" s="36">
        <f>H11*I11</f>
        <v>2040.1817760000001</v>
      </c>
    </row>
    <row r="12" spans="2:11" x14ac:dyDescent="0.25">
      <c r="B12" s="39">
        <v>44682</v>
      </c>
      <c r="C12" s="52">
        <v>44712</v>
      </c>
      <c r="D12" s="46">
        <v>2143800</v>
      </c>
      <c r="E12" s="30">
        <v>8100</v>
      </c>
      <c r="F12" s="273">
        <f t="shared" ref="F12:F19" si="0">D12-(115%*E12)</f>
        <v>2134485</v>
      </c>
      <c r="G12" s="225">
        <v>2134485</v>
      </c>
      <c r="H12" s="22">
        <f>(MIN(F12,G12))/1000</f>
        <v>2134.4850000000001</v>
      </c>
      <c r="I12" s="34">
        <v>0.93679999999999997</v>
      </c>
      <c r="J12" s="32">
        <f t="shared" ref="J12" si="1">H12*I12</f>
        <v>1999.585548</v>
      </c>
    </row>
    <row r="13" spans="2:11" x14ac:dyDescent="0.25">
      <c r="B13" s="39">
        <v>44713</v>
      </c>
      <c r="C13" s="52">
        <v>44742</v>
      </c>
      <c r="D13" s="46">
        <v>2090700</v>
      </c>
      <c r="E13" s="30">
        <v>7200</v>
      </c>
      <c r="F13" s="273">
        <f t="shared" si="0"/>
        <v>2082420</v>
      </c>
      <c r="G13" s="225">
        <v>2082420</v>
      </c>
      <c r="H13" s="22">
        <f t="shared" ref="H13:H19" si="2">(MIN(F13,G13))/1000</f>
        <v>2082.42</v>
      </c>
      <c r="I13" s="31">
        <v>0.93679999999999997</v>
      </c>
      <c r="J13" s="32">
        <f t="shared" ref="J13:J15" si="3">H13*I13</f>
        <v>1950.811056</v>
      </c>
    </row>
    <row r="14" spans="2:11" x14ac:dyDescent="0.25">
      <c r="B14" s="38">
        <v>44743</v>
      </c>
      <c r="C14" s="51">
        <v>44773</v>
      </c>
      <c r="D14" s="46">
        <v>1452600</v>
      </c>
      <c r="E14" s="30">
        <v>8100</v>
      </c>
      <c r="F14" s="273">
        <f t="shared" si="0"/>
        <v>1443285</v>
      </c>
      <c r="G14" s="225">
        <v>1443285</v>
      </c>
      <c r="H14" s="22">
        <f t="shared" si="2"/>
        <v>1443.2850000000001</v>
      </c>
      <c r="I14" s="31">
        <v>0.93679999999999997</v>
      </c>
      <c r="J14" s="32">
        <f t="shared" si="3"/>
        <v>1352.0693880000001</v>
      </c>
    </row>
    <row r="15" spans="2:11" x14ac:dyDescent="0.25">
      <c r="B15" s="39">
        <v>44774</v>
      </c>
      <c r="C15" s="52">
        <v>44804</v>
      </c>
      <c r="D15" s="46">
        <v>1692900</v>
      </c>
      <c r="E15" s="30">
        <v>8100</v>
      </c>
      <c r="F15" s="273">
        <f t="shared" si="0"/>
        <v>1683585</v>
      </c>
      <c r="G15" s="225">
        <v>1683585</v>
      </c>
      <c r="H15" s="22">
        <f t="shared" si="2"/>
        <v>1683.585</v>
      </c>
      <c r="I15" s="34">
        <v>0.93679999999999997</v>
      </c>
      <c r="J15" s="32">
        <f t="shared" si="3"/>
        <v>1577.1824280000001</v>
      </c>
    </row>
    <row r="16" spans="2:11" x14ac:dyDescent="0.25">
      <c r="B16" s="39">
        <v>44805</v>
      </c>
      <c r="C16" s="52">
        <v>44834</v>
      </c>
      <c r="D16" s="46">
        <v>1518300</v>
      </c>
      <c r="E16" s="14">
        <v>8100</v>
      </c>
      <c r="F16" s="273">
        <f t="shared" si="0"/>
        <v>1508985</v>
      </c>
      <c r="G16" s="21">
        <v>1508985</v>
      </c>
      <c r="H16" s="22">
        <f t="shared" si="2"/>
        <v>1508.9849999999999</v>
      </c>
      <c r="I16" s="31">
        <v>0.93679999999999997</v>
      </c>
      <c r="J16" s="32">
        <f t="shared" ref="J16:J19" si="4">H16*I16</f>
        <v>1413.6171479999998</v>
      </c>
    </row>
    <row r="17" spans="2:16" x14ac:dyDescent="0.25">
      <c r="B17" s="38">
        <v>44835</v>
      </c>
      <c r="C17" s="51">
        <v>44865</v>
      </c>
      <c r="D17" s="46">
        <v>1907100</v>
      </c>
      <c r="E17" s="30">
        <v>8100</v>
      </c>
      <c r="F17" s="273">
        <f t="shared" si="0"/>
        <v>1897785</v>
      </c>
      <c r="G17" s="21">
        <v>1897785</v>
      </c>
      <c r="H17" s="22">
        <f t="shared" si="2"/>
        <v>1897.7850000000001</v>
      </c>
      <c r="I17" s="31">
        <v>0.93679999999999997</v>
      </c>
      <c r="J17" s="32">
        <f t="shared" si="4"/>
        <v>1777.8449880000001</v>
      </c>
    </row>
    <row r="18" spans="2:16" x14ac:dyDescent="0.25">
      <c r="B18" s="39">
        <v>44866</v>
      </c>
      <c r="C18" s="52">
        <v>44895</v>
      </c>
      <c r="D18" s="46">
        <v>2189700</v>
      </c>
      <c r="E18" s="30">
        <v>8100</v>
      </c>
      <c r="F18" s="273">
        <f t="shared" si="0"/>
        <v>2180385</v>
      </c>
      <c r="G18" s="21">
        <v>2180385</v>
      </c>
      <c r="H18" s="22">
        <f t="shared" si="2"/>
        <v>2180.3850000000002</v>
      </c>
      <c r="I18" s="34">
        <v>0.93679999999999997</v>
      </c>
      <c r="J18" s="32">
        <f t="shared" si="4"/>
        <v>2042.5846680000002</v>
      </c>
    </row>
    <row r="19" spans="2:16" ht="15.75" thickBot="1" x14ac:dyDescent="0.3">
      <c r="B19" s="40">
        <v>44896</v>
      </c>
      <c r="C19" s="53">
        <v>44926</v>
      </c>
      <c r="D19" s="47">
        <v>1994400</v>
      </c>
      <c r="E19" s="30">
        <v>9000</v>
      </c>
      <c r="F19" s="273">
        <f t="shared" si="0"/>
        <v>1984050</v>
      </c>
      <c r="G19" s="33">
        <v>1984050</v>
      </c>
      <c r="H19" s="22">
        <f t="shared" si="2"/>
        <v>1984.05</v>
      </c>
      <c r="I19" s="41">
        <v>0.93679999999999997</v>
      </c>
      <c r="J19" s="42">
        <f t="shared" si="4"/>
        <v>1858.6580399999998</v>
      </c>
    </row>
    <row r="20" spans="2:16" ht="15.75" thickBot="1" x14ac:dyDescent="0.3">
      <c r="B20" s="330" t="s">
        <v>70</v>
      </c>
      <c r="C20" s="331"/>
      <c r="D20" s="48">
        <f>SUM(D11:D19)</f>
        <v>17175600</v>
      </c>
      <c r="E20" s="49">
        <f>SUM(E11:E19)</f>
        <v>72000</v>
      </c>
      <c r="F20" s="274">
        <f t="shared" ref="F20" si="5">SUM(F11:F19)</f>
        <v>17092800</v>
      </c>
      <c r="G20" s="49">
        <f t="shared" ref="G20" si="6">SUM(G11:G19)</f>
        <v>17092800</v>
      </c>
      <c r="H20" s="62">
        <f>SUM(H11:H19)</f>
        <v>17092.800000000003</v>
      </c>
      <c r="I20" s="54">
        <v>0.93679999999999997</v>
      </c>
      <c r="J20" s="55">
        <f>ROUNDDOWN(H20*I20,0)</f>
        <v>16012</v>
      </c>
      <c r="L20" s="24">
        <v>2022</v>
      </c>
      <c r="M20" s="7">
        <f>J20+J51+J80</f>
        <v>51043</v>
      </c>
    </row>
    <row r="21" spans="2:16" x14ac:dyDescent="0.25">
      <c r="B21" s="38">
        <v>44927</v>
      </c>
      <c r="C21" s="51">
        <v>44957</v>
      </c>
      <c r="D21" s="37">
        <v>2559600</v>
      </c>
      <c r="E21" s="14">
        <v>9000</v>
      </c>
      <c r="F21" s="273">
        <f>D21-(115%*E21)</f>
        <v>2549250</v>
      </c>
      <c r="G21" s="22">
        <v>2549250</v>
      </c>
      <c r="H21" s="22">
        <f>(MIN(F21,G21))/1000</f>
        <v>2549.25</v>
      </c>
      <c r="I21" s="35">
        <v>0.93679999999999997</v>
      </c>
      <c r="J21" s="36">
        <f>H21*I21</f>
        <v>2388.1374000000001</v>
      </c>
      <c r="L21" s="24">
        <v>2023</v>
      </c>
      <c r="M21" s="7">
        <f>J27+J58+J87</f>
        <v>44013</v>
      </c>
    </row>
    <row r="22" spans="2:16" x14ac:dyDescent="0.25">
      <c r="B22" s="39">
        <v>44958</v>
      </c>
      <c r="C22" s="52">
        <v>44985</v>
      </c>
      <c r="D22" s="46">
        <v>2477700</v>
      </c>
      <c r="E22" s="30">
        <v>7200</v>
      </c>
      <c r="F22" s="273">
        <f t="shared" ref="F22:F26" si="7">D22-(115%*E22)</f>
        <v>2469420</v>
      </c>
      <c r="G22" s="21">
        <v>2469420</v>
      </c>
      <c r="H22" s="22">
        <f t="shared" ref="H22:H26" si="8">(MIN(F22,G22))/1000</f>
        <v>2469.42</v>
      </c>
      <c r="I22" s="31">
        <v>0.93679999999999997</v>
      </c>
      <c r="J22" s="32">
        <f t="shared" ref="J22:J26" si="9">H22*I22</f>
        <v>2313.352656</v>
      </c>
    </row>
    <row r="23" spans="2:16" x14ac:dyDescent="0.25">
      <c r="B23" s="39">
        <v>44986</v>
      </c>
      <c r="C23" s="52">
        <v>45016</v>
      </c>
      <c r="D23" s="46">
        <f>D30+D31</f>
        <v>2695680</v>
      </c>
      <c r="E23" s="30">
        <f>E30+E31</f>
        <v>8370</v>
      </c>
      <c r="F23" s="273">
        <f t="shared" si="7"/>
        <v>2686054.5</v>
      </c>
      <c r="G23" s="21">
        <v>2686054</v>
      </c>
      <c r="H23" s="22">
        <f t="shared" si="8"/>
        <v>2686.0540000000001</v>
      </c>
      <c r="I23" s="31">
        <v>0.93679999999999997</v>
      </c>
      <c r="J23" s="32">
        <f t="shared" si="9"/>
        <v>2516.2953871999998</v>
      </c>
    </row>
    <row r="24" spans="2:16" x14ac:dyDescent="0.25">
      <c r="B24" s="38">
        <v>45017</v>
      </c>
      <c r="C24" s="51">
        <v>45046</v>
      </c>
      <c r="D24" s="46">
        <v>2354670</v>
      </c>
      <c r="E24" s="30">
        <v>7830</v>
      </c>
      <c r="F24" s="273">
        <f t="shared" si="7"/>
        <v>2345665.5</v>
      </c>
      <c r="G24" s="21">
        <v>2345665</v>
      </c>
      <c r="H24" s="22">
        <f t="shared" si="8"/>
        <v>2345.665</v>
      </c>
      <c r="I24" s="31">
        <v>0.93679999999999997</v>
      </c>
      <c r="J24" s="32">
        <f t="shared" si="9"/>
        <v>2197.4189719999999</v>
      </c>
      <c r="L24" s="24">
        <v>2022</v>
      </c>
      <c r="M24" s="7">
        <f>H20+H51+H80</f>
        <v>54488.115000000005</v>
      </c>
    </row>
    <row r="25" spans="2:16" x14ac:dyDescent="0.25">
      <c r="B25" s="39">
        <v>45047</v>
      </c>
      <c r="C25" s="52">
        <v>45077</v>
      </c>
      <c r="D25" s="46">
        <f>D30+D31</f>
        <v>2695680</v>
      </c>
      <c r="E25" s="30">
        <v>7110</v>
      </c>
      <c r="F25" s="273">
        <f t="shared" si="7"/>
        <v>2687503.5</v>
      </c>
      <c r="G25" s="21">
        <v>2447563</v>
      </c>
      <c r="H25" s="22">
        <f t="shared" si="8"/>
        <v>2447.5630000000001</v>
      </c>
      <c r="I25" s="31">
        <v>0.93679999999999997</v>
      </c>
      <c r="J25" s="32">
        <f t="shared" si="9"/>
        <v>2292.8770184</v>
      </c>
      <c r="L25" s="24">
        <v>2023</v>
      </c>
      <c r="M25" s="7">
        <f>H27+H58+H87</f>
        <v>46984.625650000002</v>
      </c>
    </row>
    <row r="26" spans="2:16" ht="15.75" thickBot="1" x14ac:dyDescent="0.3">
      <c r="B26" s="40">
        <v>45078</v>
      </c>
      <c r="C26" s="183">
        <v>45107</v>
      </c>
      <c r="D26" s="254">
        <f>D34</f>
        <v>2078082</v>
      </c>
      <c r="E26" s="202">
        <f>E34</f>
        <v>6873</v>
      </c>
      <c r="F26" s="275">
        <f t="shared" si="7"/>
        <v>2070178.05</v>
      </c>
      <c r="G26" s="33">
        <v>2141563</v>
      </c>
      <c r="H26" s="22">
        <f t="shared" si="8"/>
        <v>2070.17805</v>
      </c>
      <c r="I26" s="41">
        <v>0.93679999999999997</v>
      </c>
      <c r="J26" s="42">
        <f t="shared" si="9"/>
        <v>1939.34279724</v>
      </c>
    </row>
    <row r="27" spans="2:16" ht="15.75" thickBot="1" x14ac:dyDescent="0.3">
      <c r="B27" s="330" t="s">
        <v>71</v>
      </c>
      <c r="C27" s="331"/>
      <c r="D27" s="48">
        <f t="shared" ref="D27:F27" si="10">SUM(D21:D26)</f>
        <v>14861412</v>
      </c>
      <c r="E27" s="49">
        <f t="shared" si="10"/>
        <v>46383</v>
      </c>
      <c r="F27" s="274">
        <f t="shared" si="10"/>
        <v>14808071.550000001</v>
      </c>
      <c r="G27" s="62">
        <f>SUM(G21:G26)</f>
        <v>14639515</v>
      </c>
      <c r="H27" s="62">
        <f>SUM(H21:H26)</f>
        <v>14568.13005</v>
      </c>
      <c r="I27" s="54">
        <v>0.93679999999999997</v>
      </c>
      <c r="J27" s="55">
        <f>ROUNDDOWN(H27*I27,0)</f>
        <v>13647</v>
      </c>
    </row>
    <row r="28" spans="2:16" ht="15.75" thickBot="1" x14ac:dyDescent="0.3">
      <c r="B28" s="345" t="s">
        <v>3</v>
      </c>
      <c r="C28" s="346"/>
      <c r="D28" s="56">
        <f>D20+D27</f>
        <v>32037012</v>
      </c>
      <c r="E28" s="57">
        <f>E20+E27</f>
        <v>118383</v>
      </c>
      <c r="F28" s="276">
        <f>F20+F27</f>
        <v>31900871.550000001</v>
      </c>
      <c r="G28" s="58">
        <f>G27+G20</f>
        <v>31732315</v>
      </c>
      <c r="H28" s="58">
        <f>SUM(H20+H27)</f>
        <v>31660.930050000003</v>
      </c>
      <c r="I28" s="59">
        <v>0.93679999999999997</v>
      </c>
      <c r="J28" s="60">
        <f>ROUNDDOWN(SUM(J20+J27),0)</f>
        <v>29659</v>
      </c>
      <c r="L28" s="306">
        <v>45078</v>
      </c>
      <c r="M28" s="307"/>
      <c r="N28" s="307"/>
      <c r="O28" s="307"/>
      <c r="P28" s="308"/>
    </row>
    <row r="29" spans="2:16" ht="15.75" thickBot="1" x14ac:dyDescent="0.3">
      <c r="L29" s="3"/>
      <c r="M29" s="3"/>
      <c r="N29" s="3" t="s">
        <v>138</v>
      </c>
      <c r="O29" s="3" t="s">
        <v>139</v>
      </c>
      <c r="P29" s="3"/>
    </row>
    <row r="30" spans="2:16" x14ac:dyDescent="0.25">
      <c r="B30" s="69">
        <v>44986</v>
      </c>
      <c r="C30" s="70">
        <v>45012</v>
      </c>
      <c r="D30" s="67">
        <v>2331000</v>
      </c>
      <c r="E30" s="30">
        <v>7200</v>
      </c>
      <c r="L30" s="3" t="s">
        <v>127</v>
      </c>
      <c r="M30" s="30">
        <v>2149740</v>
      </c>
      <c r="N30" s="96">
        <f>M30/M32</f>
        <v>71658</v>
      </c>
      <c r="O30" s="96">
        <f>N30*M33</f>
        <v>2078082</v>
      </c>
      <c r="P30" s="3"/>
    </row>
    <row r="31" spans="2:16" ht="15.75" thickBot="1" x14ac:dyDescent="0.3">
      <c r="B31" s="71">
        <v>45012</v>
      </c>
      <c r="C31" s="72">
        <v>45016</v>
      </c>
      <c r="D31" s="68">
        <v>364680</v>
      </c>
      <c r="E31" s="3">
        <v>1170</v>
      </c>
      <c r="L31" s="3" t="s">
        <v>128</v>
      </c>
      <c r="M31" s="3">
        <v>7110</v>
      </c>
      <c r="N31" s="96">
        <f>M31/M32</f>
        <v>237</v>
      </c>
      <c r="O31" s="96">
        <f>N31*M33</f>
        <v>6873</v>
      </c>
      <c r="P31" s="3"/>
    </row>
    <row r="32" spans="2:16" x14ac:dyDescent="0.25">
      <c r="B32" s="230"/>
      <c r="C32" s="230"/>
      <c r="L32" s="3" t="s">
        <v>129</v>
      </c>
      <c r="M32" s="3">
        <f>C33-B33</f>
        <v>30</v>
      </c>
      <c r="N32" s="3"/>
      <c r="O32" s="3"/>
      <c r="P32" s="3"/>
    </row>
    <row r="33" spans="2:16" ht="30" x14ac:dyDescent="0.25">
      <c r="B33" s="201">
        <v>45078</v>
      </c>
      <c r="C33" s="201">
        <v>45108</v>
      </c>
      <c r="D33" s="211">
        <v>2149740</v>
      </c>
      <c r="E33" s="211">
        <v>7110</v>
      </c>
      <c r="L33" s="253" t="s">
        <v>130</v>
      </c>
      <c r="M33" s="3">
        <f>C34-B34</f>
        <v>29</v>
      </c>
      <c r="N33" s="3"/>
      <c r="O33" s="3"/>
      <c r="P33" s="3"/>
    </row>
    <row r="34" spans="2:16" x14ac:dyDescent="0.25">
      <c r="B34" s="201">
        <v>45078</v>
      </c>
      <c r="C34" s="201">
        <v>45107</v>
      </c>
      <c r="D34" s="202">
        <f>O30</f>
        <v>2078082</v>
      </c>
      <c r="E34" s="202">
        <f>O31</f>
        <v>6873</v>
      </c>
    </row>
    <row r="35" spans="2:16" ht="13.5" customHeight="1" x14ac:dyDescent="0.25"/>
    <row r="36" spans="2:16" ht="15.75" thickBot="1" x14ac:dyDescent="0.3"/>
    <row r="37" spans="2:16" ht="15.75" thickBot="1" x14ac:dyDescent="0.3">
      <c r="B37" s="328" t="s">
        <v>63</v>
      </c>
      <c r="C37" s="329"/>
      <c r="D37" s="337" t="s">
        <v>81</v>
      </c>
      <c r="E37" s="344"/>
      <c r="F37" s="329"/>
      <c r="G37" s="309"/>
      <c r="H37" s="309"/>
      <c r="I37" s="309"/>
      <c r="J37" s="310"/>
    </row>
    <row r="38" spans="2:16" ht="15.75" thickBot="1" x14ac:dyDescent="0.3">
      <c r="B38" s="324" t="s">
        <v>67</v>
      </c>
      <c r="C38" s="325"/>
      <c r="D38" s="324" t="s">
        <v>50</v>
      </c>
      <c r="E38" s="335"/>
      <c r="F38" s="336"/>
      <c r="G38" s="311"/>
      <c r="H38" s="311"/>
      <c r="I38" s="311"/>
      <c r="J38" s="312"/>
    </row>
    <row r="39" spans="2:16" ht="15.75" thickBot="1" x14ac:dyDescent="0.3">
      <c r="B39" s="326" t="s">
        <v>31</v>
      </c>
      <c r="C39" s="327"/>
      <c r="D39" s="332" t="s">
        <v>29</v>
      </c>
      <c r="E39" s="342"/>
      <c r="F39" s="343"/>
      <c r="G39" s="313"/>
      <c r="H39" s="313"/>
      <c r="I39" s="313"/>
      <c r="J39" s="314"/>
    </row>
    <row r="40" spans="2:16" ht="15.75" thickBot="1" x14ac:dyDescent="0.3">
      <c r="B40" s="328" t="s">
        <v>74</v>
      </c>
      <c r="C40" s="329"/>
      <c r="D40" s="337" t="s">
        <v>77</v>
      </c>
      <c r="E40" s="338"/>
      <c r="F40" s="339"/>
      <c r="G40" s="64"/>
      <c r="H40" s="64"/>
      <c r="I40" s="64"/>
      <c r="J40" s="65"/>
    </row>
    <row r="41" spans="2:16" ht="45.75" thickBot="1" x14ac:dyDescent="0.3">
      <c r="B41" s="326" t="s">
        <v>0</v>
      </c>
      <c r="C41" s="327"/>
      <c r="D41" s="43" t="s">
        <v>72</v>
      </c>
      <c r="E41" s="44" t="s">
        <v>73</v>
      </c>
      <c r="F41" s="45" t="s">
        <v>145</v>
      </c>
      <c r="G41" s="44" t="s">
        <v>100</v>
      </c>
      <c r="H41" s="44" t="s">
        <v>69</v>
      </c>
      <c r="I41" s="44" t="s">
        <v>1</v>
      </c>
      <c r="J41" s="45" t="s">
        <v>2</v>
      </c>
    </row>
    <row r="42" spans="2:16" x14ac:dyDescent="0.25">
      <c r="B42" s="38">
        <v>44652</v>
      </c>
      <c r="C42" s="51">
        <v>44681</v>
      </c>
      <c r="D42" s="37">
        <v>2747700</v>
      </c>
      <c r="E42" s="14">
        <v>9000</v>
      </c>
      <c r="F42" s="273">
        <f>D42-(115%*E42)</f>
        <v>2737350</v>
      </c>
      <c r="G42" s="22">
        <v>2737350</v>
      </c>
      <c r="H42" s="22">
        <f>(MIN(F42,G42))/1000</f>
        <v>2737.35</v>
      </c>
      <c r="I42" s="35">
        <v>0.93679999999999997</v>
      </c>
      <c r="J42" s="36">
        <f>H42*I42</f>
        <v>2564.3494799999999</v>
      </c>
    </row>
    <row r="43" spans="2:16" x14ac:dyDescent="0.25">
      <c r="B43" s="39">
        <v>44682</v>
      </c>
      <c r="C43" s="52">
        <v>44712</v>
      </c>
      <c r="D43" s="46">
        <v>2718900</v>
      </c>
      <c r="E43" s="30">
        <v>9000</v>
      </c>
      <c r="F43" s="273">
        <f t="shared" ref="F43:F50" si="11">D43-(115%*E43)</f>
        <v>2708550</v>
      </c>
      <c r="G43" s="21">
        <v>2708550</v>
      </c>
      <c r="H43" s="22">
        <f t="shared" ref="H43:H50" si="12">(MIN(F43,G43))/1000</f>
        <v>2708.55</v>
      </c>
      <c r="I43" s="34">
        <v>0.93679999999999997</v>
      </c>
      <c r="J43" s="32">
        <f t="shared" ref="J43:J50" si="13">H43*I43</f>
        <v>2537.3696399999999</v>
      </c>
    </row>
    <row r="44" spans="2:16" x14ac:dyDescent="0.25">
      <c r="B44" s="39">
        <v>44713</v>
      </c>
      <c r="C44" s="52">
        <v>44742</v>
      </c>
      <c r="D44" s="46">
        <v>2237400</v>
      </c>
      <c r="E44" s="30">
        <v>8100</v>
      </c>
      <c r="F44" s="273">
        <f t="shared" si="11"/>
        <v>2228085</v>
      </c>
      <c r="G44" s="21">
        <v>2228085</v>
      </c>
      <c r="H44" s="22">
        <f t="shared" si="12"/>
        <v>2228.085</v>
      </c>
      <c r="I44" s="31">
        <v>0.93679999999999997</v>
      </c>
      <c r="J44" s="32">
        <f t="shared" si="13"/>
        <v>2087.2700279999999</v>
      </c>
    </row>
    <row r="45" spans="2:16" x14ac:dyDescent="0.25">
      <c r="B45" s="38">
        <v>44743</v>
      </c>
      <c r="C45" s="51">
        <v>44773</v>
      </c>
      <c r="D45" s="46">
        <v>558900</v>
      </c>
      <c r="E45" s="30">
        <v>3600</v>
      </c>
      <c r="F45" s="273">
        <f t="shared" si="11"/>
        <v>554760</v>
      </c>
      <c r="G45" s="21">
        <v>554760</v>
      </c>
      <c r="H45" s="22">
        <f t="shared" si="12"/>
        <v>554.76</v>
      </c>
      <c r="I45" s="31">
        <v>0.93679999999999997</v>
      </c>
      <c r="J45" s="32">
        <f t="shared" si="13"/>
        <v>519.69916799999999</v>
      </c>
    </row>
    <row r="46" spans="2:16" x14ac:dyDescent="0.25">
      <c r="B46" s="39">
        <v>44774</v>
      </c>
      <c r="C46" s="52">
        <v>44804</v>
      </c>
      <c r="D46" s="46">
        <v>1777500</v>
      </c>
      <c r="E46" s="30">
        <v>9000</v>
      </c>
      <c r="F46" s="273">
        <f t="shared" si="11"/>
        <v>1767150</v>
      </c>
      <c r="G46" s="21">
        <v>1767150</v>
      </c>
      <c r="H46" s="22">
        <f t="shared" si="12"/>
        <v>1767.15</v>
      </c>
      <c r="I46" s="34">
        <v>0.93679999999999997</v>
      </c>
      <c r="J46" s="32">
        <f t="shared" si="13"/>
        <v>1655.46612</v>
      </c>
    </row>
    <row r="47" spans="2:16" x14ac:dyDescent="0.25">
      <c r="B47" s="39">
        <v>44805</v>
      </c>
      <c r="C47" s="52">
        <v>44834</v>
      </c>
      <c r="D47" s="46">
        <v>2171700</v>
      </c>
      <c r="E47" s="14">
        <v>9900</v>
      </c>
      <c r="F47" s="273">
        <f t="shared" si="11"/>
        <v>2160315</v>
      </c>
      <c r="G47" s="21">
        <v>2160315</v>
      </c>
      <c r="H47" s="22">
        <f t="shared" si="12"/>
        <v>2160.3150000000001</v>
      </c>
      <c r="I47" s="31">
        <v>0.93679999999999997</v>
      </c>
      <c r="J47" s="32">
        <f t="shared" si="13"/>
        <v>2023.7830919999999</v>
      </c>
    </row>
    <row r="48" spans="2:16" x14ac:dyDescent="0.25">
      <c r="B48" s="38">
        <v>44835</v>
      </c>
      <c r="C48" s="51">
        <v>44865</v>
      </c>
      <c r="D48" s="46">
        <v>2196900</v>
      </c>
      <c r="E48" s="30">
        <v>9000</v>
      </c>
      <c r="F48" s="273">
        <f t="shared" si="11"/>
        <v>2186550</v>
      </c>
      <c r="G48" s="21">
        <v>2186550</v>
      </c>
      <c r="H48" s="22">
        <f t="shared" si="12"/>
        <v>2186.5500000000002</v>
      </c>
      <c r="I48" s="31">
        <v>0.93679999999999997</v>
      </c>
      <c r="J48" s="32">
        <f t="shared" si="13"/>
        <v>2048.36004</v>
      </c>
    </row>
    <row r="49" spans="2:11" x14ac:dyDescent="0.25">
      <c r="B49" s="39">
        <v>44866</v>
      </c>
      <c r="C49" s="52">
        <v>44895</v>
      </c>
      <c r="D49" s="46">
        <v>2357100</v>
      </c>
      <c r="E49" s="30">
        <v>9900</v>
      </c>
      <c r="F49" s="273">
        <f t="shared" si="11"/>
        <v>2345715</v>
      </c>
      <c r="G49" s="21">
        <v>2345715</v>
      </c>
      <c r="H49" s="22">
        <f t="shared" si="12"/>
        <v>2345.7150000000001</v>
      </c>
      <c r="I49" s="34">
        <v>0.93679999999999997</v>
      </c>
      <c r="J49" s="32">
        <f t="shared" si="13"/>
        <v>2197.4658119999999</v>
      </c>
    </row>
    <row r="50" spans="2:11" ht="15.75" thickBot="1" x14ac:dyDescent="0.3">
      <c r="B50" s="40">
        <v>44896</v>
      </c>
      <c r="C50" s="53">
        <v>44926</v>
      </c>
      <c r="D50" s="47">
        <v>2242800</v>
      </c>
      <c r="E50" s="30">
        <v>9900</v>
      </c>
      <c r="F50" s="273">
        <f t="shared" si="11"/>
        <v>2231415</v>
      </c>
      <c r="G50" s="33">
        <v>2231415</v>
      </c>
      <c r="H50" s="22">
        <f t="shared" si="12"/>
        <v>2231.415</v>
      </c>
      <c r="I50" s="41">
        <v>0.93679999999999997</v>
      </c>
      <c r="J50" s="42">
        <f t="shared" si="13"/>
        <v>2090.389572</v>
      </c>
    </row>
    <row r="51" spans="2:11" ht="15.75" thickBot="1" x14ac:dyDescent="0.3">
      <c r="B51" s="330" t="s">
        <v>70</v>
      </c>
      <c r="C51" s="331"/>
      <c r="D51" s="48">
        <f>SUM(D42:D50)</f>
        <v>19008900</v>
      </c>
      <c r="E51" s="49">
        <f t="shared" ref="E51" si="14">SUM(E42:E50)</f>
        <v>77400</v>
      </c>
      <c r="F51" s="274">
        <f>SUM(F42:F50)</f>
        <v>18919890</v>
      </c>
      <c r="G51" s="49">
        <f t="shared" ref="G51:H51" si="15">SUM(G42:G50)</f>
        <v>18919890</v>
      </c>
      <c r="H51" s="62">
        <f t="shared" si="15"/>
        <v>18919.89</v>
      </c>
      <c r="I51" s="54">
        <v>0.93679999999999997</v>
      </c>
      <c r="J51" s="55">
        <f>ROUNDDOWN(H51*I51,0)</f>
        <v>17724</v>
      </c>
    </row>
    <row r="52" spans="2:11" x14ac:dyDescent="0.25">
      <c r="B52" s="38">
        <v>44927</v>
      </c>
      <c r="C52" s="51">
        <v>44957</v>
      </c>
      <c r="D52" s="37">
        <v>2574900</v>
      </c>
      <c r="E52" s="14">
        <v>9900</v>
      </c>
      <c r="F52" s="273">
        <f>D52-(115%*E52)</f>
        <v>2563515</v>
      </c>
      <c r="G52" s="22">
        <v>2563515</v>
      </c>
      <c r="H52" s="22">
        <f>(MIN(F52,G52))/1000</f>
        <v>2563.5149999999999</v>
      </c>
      <c r="I52" s="35">
        <v>0.93679999999999997</v>
      </c>
      <c r="J52" s="36">
        <f>H52*I52</f>
        <v>2401.5008519999997</v>
      </c>
      <c r="K52" s="7"/>
    </row>
    <row r="53" spans="2:11" x14ac:dyDescent="0.25">
      <c r="B53" s="39">
        <v>44958</v>
      </c>
      <c r="C53" s="52">
        <v>44985</v>
      </c>
      <c r="D53" s="46">
        <v>2649600</v>
      </c>
      <c r="E53" s="30">
        <v>9000</v>
      </c>
      <c r="F53" s="273">
        <f t="shared" ref="F53:F57" si="16">D53-(115%*E53)</f>
        <v>2639250</v>
      </c>
      <c r="G53" s="21">
        <v>2639250</v>
      </c>
      <c r="H53" s="22">
        <f t="shared" ref="H53:H57" si="17">(MIN(F53,G53))/1000</f>
        <v>2639.25</v>
      </c>
      <c r="I53" s="31">
        <v>0.93679999999999997</v>
      </c>
      <c r="J53" s="32">
        <f t="shared" ref="J53:J57" si="18">H53*I53</f>
        <v>2472.4494</v>
      </c>
      <c r="K53" s="7"/>
    </row>
    <row r="54" spans="2:11" x14ac:dyDescent="0.25">
      <c r="B54" s="39">
        <v>44986</v>
      </c>
      <c r="C54" s="52">
        <v>45016</v>
      </c>
      <c r="D54" s="46">
        <v>3127500</v>
      </c>
      <c r="E54" s="30">
        <v>9000</v>
      </c>
      <c r="F54" s="273">
        <f t="shared" si="16"/>
        <v>3117150</v>
      </c>
      <c r="G54" s="21">
        <v>3117150</v>
      </c>
      <c r="H54" s="22">
        <f t="shared" si="17"/>
        <v>3117.15</v>
      </c>
      <c r="I54" s="31">
        <v>0.93679999999999997</v>
      </c>
      <c r="J54" s="32">
        <f t="shared" si="18"/>
        <v>2920.1461199999999</v>
      </c>
      <c r="K54" s="7"/>
    </row>
    <row r="55" spans="2:11" x14ac:dyDescent="0.25">
      <c r="B55" s="38">
        <v>45017</v>
      </c>
      <c r="C55" s="51">
        <v>45046</v>
      </c>
      <c r="D55" s="46">
        <v>3063600</v>
      </c>
      <c r="E55" s="30">
        <v>8100</v>
      </c>
      <c r="F55" s="273">
        <f t="shared" si="16"/>
        <v>3054285</v>
      </c>
      <c r="G55" s="21">
        <v>3054285</v>
      </c>
      <c r="H55" s="22">
        <f t="shared" si="17"/>
        <v>3054.2849999999999</v>
      </c>
      <c r="I55" s="31">
        <v>0.93679999999999997</v>
      </c>
      <c r="J55" s="32">
        <f t="shared" si="18"/>
        <v>2861.2541879999999</v>
      </c>
      <c r="K55" s="7"/>
    </row>
    <row r="56" spans="2:11" x14ac:dyDescent="0.25">
      <c r="B56" s="39">
        <v>45047</v>
      </c>
      <c r="C56" s="52">
        <v>45077</v>
      </c>
      <c r="D56" s="46">
        <f>D61+D62</f>
        <v>3324960</v>
      </c>
      <c r="E56" s="30">
        <f>E61+E62</f>
        <v>9180</v>
      </c>
      <c r="F56" s="273">
        <f t="shared" si="16"/>
        <v>3314403</v>
      </c>
      <c r="G56" s="225">
        <v>3314403</v>
      </c>
      <c r="H56" s="22">
        <f t="shared" si="17"/>
        <v>3314.4029999999998</v>
      </c>
      <c r="I56" s="31">
        <v>0.93679999999999997</v>
      </c>
      <c r="J56" s="32">
        <f t="shared" si="18"/>
        <v>3104.9327303999999</v>
      </c>
      <c r="K56" s="7"/>
    </row>
    <row r="57" spans="2:11" ht="15.75" thickBot="1" x14ac:dyDescent="0.3">
      <c r="B57" s="184">
        <v>45078</v>
      </c>
      <c r="C57" s="183">
        <v>45107</v>
      </c>
      <c r="D57" s="255">
        <v>2722500</v>
      </c>
      <c r="E57" s="261">
        <v>8100</v>
      </c>
      <c r="F57" s="273">
        <f t="shared" si="16"/>
        <v>2713185</v>
      </c>
      <c r="G57" s="33">
        <v>2713185</v>
      </c>
      <c r="H57" s="22">
        <f t="shared" si="17"/>
        <v>2713.1849999999999</v>
      </c>
      <c r="I57" s="41">
        <v>0.93679999999999997</v>
      </c>
      <c r="J57" s="32">
        <f t="shared" si="18"/>
        <v>2541.7117079999998</v>
      </c>
      <c r="K57" s="7"/>
    </row>
    <row r="58" spans="2:11" ht="15.75" thickBot="1" x14ac:dyDescent="0.3">
      <c r="B58" s="330" t="s">
        <v>71</v>
      </c>
      <c r="C58" s="331"/>
      <c r="D58" s="48">
        <f>SUM(D52:D57)</f>
        <v>17463060</v>
      </c>
      <c r="E58" s="49">
        <f>SUM(E52:E57)</f>
        <v>53280</v>
      </c>
      <c r="F58" s="274">
        <f>SUM(F52:F57)</f>
        <v>17401788</v>
      </c>
      <c r="G58" s="62">
        <f>SUM(G52:G57)</f>
        <v>17401788</v>
      </c>
      <c r="H58" s="62">
        <f>SUM(H52:H57)</f>
        <v>17401.788</v>
      </c>
      <c r="I58" s="54">
        <v>0.93679999999999997</v>
      </c>
      <c r="J58" s="55">
        <f>ROUNDDOWN(H58*I58,0)</f>
        <v>16301</v>
      </c>
    </row>
    <row r="59" spans="2:11" ht="15.75" thickBot="1" x14ac:dyDescent="0.3">
      <c r="B59" s="345" t="s">
        <v>3</v>
      </c>
      <c r="C59" s="346"/>
      <c r="D59" s="76">
        <f>D58+D51</f>
        <v>36471960</v>
      </c>
      <c r="E59" s="77">
        <f>E51+E58</f>
        <v>130680</v>
      </c>
      <c r="F59" s="278">
        <f>F58+F51</f>
        <v>36321678</v>
      </c>
      <c r="G59" s="58">
        <f>G58+G51</f>
        <v>36321678</v>
      </c>
      <c r="H59" s="58">
        <f>SUM(H51+H58)</f>
        <v>36321.678</v>
      </c>
      <c r="I59" s="59">
        <v>0.93679999999999997</v>
      </c>
      <c r="J59" s="60">
        <f>ROUNDDOWN(SUM(J51+J58),0)</f>
        <v>34025</v>
      </c>
    </row>
    <row r="60" spans="2:11" ht="15.75" thickBot="1" x14ac:dyDescent="0.3"/>
    <row r="61" spans="2:11" x14ac:dyDescent="0.25">
      <c r="B61" s="69">
        <v>45047</v>
      </c>
      <c r="C61" s="70">
        <v>45051</v>
      </c>
      <c r="D61" s="182">
        <v>521100</v>
      </c>
      <c r="E61" s="181">
        <v>1800</v>
      </c>
    </row>
    <row r="62" spans="2:11" ht="15.75" thickBot="1" x14ac:dyDescent="0.3">
      <c r="B62" s="74">
        <v>45051</v>
      </c>
      <c r="C62" s="75">
        <v>45077</v>
      </c>
      <c r="D62" s="182">
        <v>2803860</v>
      </c>
      <c r="E62" s="181">
        <v>7380</v>
      </c>
    </row>
    <row r="65" spans="2:10" ht="15.75" thickBot="1" x14ac:dyDescent="0.3"/>
    <row r="66" spans="2:10" ht="15.75" thickBot="1" x14ac:dyDescent="0.3">
      <c r="B66" s="328" t="s">
        <v>63</v>
      </c>
      <c r="C66" s="329"/>
      <c r="D66" s="328" t="s">
        <v>80</v>
      </c>
      <c r="E66" s="344"/>
      <c r="F66" s="329"/>
      <c r="G66" s="309"/>
      <c r="H66" s="309"/>
      <c r="I66" s="309"/>
      <c r="J66" s="310"/>
    </row>
    <row r="67" spans="2:10" ht="15.75" thickBot="1" x14ac:dyDescent="0.3">
      <c r="B67" s="324" t="s">
        <v>67</v>
      </c>
      <c r="C67" s="325"/>
      <c r="D67" s="324" t="s">
        <v>52</v>
      </c>
      <c r="E67" s="335"/>
      <c r="F67" s="336"/>
      <c r="G67" s="311"/>
      <c r="H67" s="311"/>
      <c r="I67" s="311"/>
      <c r="J67" s="312"/>
    </row>
    <row r="68" spans="2:10" ht="15.75" thickBot="1" x14ac:dyDescent="0.3">
      <c r="B68" s="326" t="s">
        <v>31</v>
      </c>
      <c r="C68" s="327"/>
      <c r="D68" s="332" t="s">
        <v>29</v>
      </c>
      <c r="E68" s="342"/>
      <c r="F68" s="343"/>
      <c r="G68" s="313"/>
      <c r="H68" s="313"/>
      <c r="I68" s="313"/>
      <c r="J68" s="314"/>
    </row>
    <row r="69" spans="2:10" ht="15.75" thickBot="1" x14ac:dyDescent="0.3">
      <c r="B69" s="328" t="s">
        <v>74</v>
      </c>
      <c r="C69" s="329"/>
      <c r="D69" s="337" t="s">
        <v>75</v>
      </c>
      <c r="E69" s="338"/>
      <c r="F69" s="339"/>
      <c r="G69" s="64"/>
      <c r="H69" s="64"/>
      <c r="I69" s="64"/>
      <c r="J69" s="65"/>
    </row>
    <row r="70" spans="2:10" ht="45.75" thickBot="1" x14ac:dyDescent="0.3">
      <c r="B70" s="326" t="s">
        <v>0</v>
      </c>
      <c r="C70" s="327"/>
      <c r="D70" s="43" t="s">
        <v>72</v>
      </c>
      <c r="E70" s="44" t="s">
        <v>73</v>
      </c>
      <c r="F70" s="45" t="s">
        <v>145</v>
      </c>
      <c r="G70" s="44" t="s">
        <v>100</v>
      </c>
      <c r="H70" s="44" t="s">
        <v>69</v>
      </c>
      <c r="I70" s="44" t="s">
        <v>1</v>
      </c>
      <c r="J70" s="45" t="s">
        <v>2</v>
      </c>
    </row>
    <row r="71" spans="2:10" x14ac:dyDescent="0.25">
      <c r="B71" s="38">
        <v>44652</v>
      </c>
      <c r="C71" s="51">
        <v>44682</v>
      </c>
      <c r="D71" s="37">
        <v>2170800</v>
      </c>
      <c r="E71" s="14">
        <v>6300</v>
      </c>
      <c r="F71" s="273">
        <f>D71-(115%*E71)</f>
        <v>2163555</v>
      </c>
      <c r="G71" s="22">
        <v>2163555</v>
      </c>
      <c r="H71" s="22">
        <f>(MIN(F71,G71))/1000</f>
        <v>2163.5549999999998</v>
      </c>
      <c r="I71" s="35">
        <v>0.93679999999999997</v>
      </c>
      <c r="J71" s="36">
        <f>H71*I71</f>
        <v>2026.8183239999998</v>
      </c>
    </row>
    <row r="72" spans="2:10" x14ac:dyDescent="0.25">
      <c r="B72" s="39">
        <v>44682</v>
      </c>
      <c r="C72" s="52">
        <v>44713</v>
      </c>
      <c r="D72" s="46">
        <v>2221200</v>
      </c>
      <c r="E72" s="30">
        <v>6300</v>
      </c>
      <c r="F72" s="273">
        <f t="shared" ref="F72:F79" si="19">D72-(115%*E72)</f>
        <v>2213955</v>
      </c>
      <c r="G72" s="21">
        <v>2213955</v>
      </c>
      <c r="H72" s="22">
        <f t="shared" ref="H72:H79" si="20">(MIN(F72,G72))/1000</f>
        <v>2213.9549999999999</v>
      </c>
      <c r="I72" s="34">
        <v>0.93679999999999997</v>
      </c>
      <c r="J72" s="32">
        <f t="shared" ref="J72:J79" si="21">H72*I72</f>
        <v>2074.0330439999998</v>
      </c>
    </row>
    <row r="73" spans="2:10" x14ac:dyDescent="0.25">
      <c r="B73" s="38">
        <v>44713</v>
      </c>
      <c r="C73" s="51">
        <v>44743</v>
      </c>
      <c r="D73" s="46">
        <v>2088900</v>
      </c>
      <c r="E73" s="30">
        <v>5400</v>
      </c>
      <c r="F73" s="273">
        <f t="shared" si="19"/>
        <v>2082690</v>
      </c>
      <c r="G73" s="21">
        <v>2082690</v>
      </c>
      <c r="H73" s="22">
        <f t="shared" si="20"/>
        <v>2082.69</v>
      </c>
      <c r="I73" s="31">
        <v>0.93679999999999997</v>
      </c>
      <c r="J73" s="32">
        <f t="shared" si="21"/>
        <v>1951.0639919999999</v>
      </c>
    </row>
    <row r="74" spans="2:10" x14ac:dyDescent="0.25">
      <c r="B74" s="39">
        <v>44743</v>
      </c>
      <c r="C74" s="52">
        <v>44774</v>
      </c>
      <c r="D74" s="46">
        <v>1673100</v>
      </c>
      <c r="E74" s="30">
        <v>6300</v>
      </c>
      <c r="F74" s="273">
        <f t="shared" si="19"/>
        <v>1665855</v>
      </c>
      <c r="G74" s="21">
        <v>1665855</v>
      </c>
      <c r="H74" s="22">
        <f t="shared" si="20"/>
        <v>1665.855</v>
      </c>
      <c r="I74" s="31">
        <v>0.93679999999999997</v>
      </c>
      <c r="J74" s="32">
        <f t="shared" si="21"/>
        <v>1560.572964</v>
      </c>
    </row>
    <row r="75" spans="2:10" x14ac:dyDescent="0.25">
      <c r="B75" s="38">
        <v>44774</v>
      </c>
      <c r="C75" s="51">
        <v>44805</v>
      </c>
      <c r="D75" s="46">
        <v>1813500</v>
      </c>
      <c r="E75" s="30">
        <v>6300</v>
      </c>
      <c r="F75" s="273">
        <f t="shared" si="19"/>
        <v>1806255</v>
      </c>
      <c r="G75" s="21">
        <v>1806255</v>
      </c>
      <c r="H75" s="22">
        <f t="shared" si="20"/>
        <v>1806.2550000000001</v>
      </c>
      <c r="I75" s="34">
        <v>0.93679999999999997</v>
      </c>
      <c r="J75" s="32">
        <f t="shared" si="21"/>
        <v>1692.099684</v>
      </c>
    </row>
    <row r="76" spans="2:10" x14ac:dyDescent="0.25">
      <c r="B76" s="39">
        <v>44805</v>
      </c>
      <c r="C76" s="52">
        <v>44835</v>
      </c>
      <c r="D76" s="46">
        <v>2008800</v>
      </c>
      <c r="E76" s="14">
        <v>6300</v>
      </c>
      <c r="F76" s="273">
        <f t="shared" si="19"/>
        <v>2001555</v>
      </c>
      <c r="G76" s="21">
        <v>2001555</v>
      </c>
      <c r="H76" s="22">
        <f t="shared" si="20"/>
        <v>2001.5550000000001</v>
      </c>
      <c r="I76" s="31">
        <v>0.93679999999999997</v>
      </c>
      <c r="J76" s="32">
        <f t="shared" si="21"/>
        <v>1875.056724</v>
      </c>
    </row>
    <row r="77" spans="2:10" x14ac:dyDescent="0.25">
      <c r="B77" s="38">
        <v>44835</v>
      </c>
      <c r="C77" s="51">
        <v>44866</v>
      </c>
      <c r="D77" s="46">
        <v>2184300</v>
      </c>
      <c r="E77" s="30">
        <v>7200</v>
      </c>
      <c r="F77" s="273">
        <f t="shared" si="19"/>
        <v>2176020</v>
      </c>
      <c r="G77" s="21">
        <v>2176020</v>
      </c>
      <c r="H77" s="22">
        <f t="shared" si="20"/>
        <v>2176.02</v>
      </c>
      <c r="I77" s="31">
        <v>0.93679999999999997</v>
      </c>
      <c r="J77" s="32">
        <f t="shared" si="21"/>
        <v>2038.4955359999999</v>
      </c>
    </row>
    <row r="78" spans="2:10" x14ac:dyDescent="0.25">
      <c r="B78" s="39">
        <v>44866</v>
      </c>
      <c r="C78" s="52">
        <v>44895</v>
      </c>
      <c r="D78" s="46">
        <v>2123100</v>
      </c>
      <c r="E78" s="30">
        <v>6300</v>
      </c>
      <c r="F78" s="273">
        <f t="shared" si="19"/>
        <v>2115855</v>
      </c>
      <c r="G78" s="21">
        <v>2115855</v>
      </c>
      <c r="H78" s="22">
        <f t="shared" si="20"/>
        <v>2115.855</v>
      </c>
      <c r="I78" s="34">
        <v>0.93679999999999997</v>
      </c>
      <c r="J78" s="32">
        <f t="shared" si="21"/>
        <v>1982.1329639999999</v>
      </c>
    </row>
    <row r="79" spans="2:10" ht="15.75" thickBot="1" x14ac:dyDescent="0.3">
      <c r="B79" s="38">
        <v>44896</v>
      </c>
      <c r="C79" s="51">
        <v>44926</v>
      </c>
      <c r="D79" s="47">
        <v>2259000</v>
      </c>
      <c r="E79" s="30">
        <v>8100</v>
      </c>
      <c r="F79" s="273">
        <f t="shared" si="19"/>
        <v>2249685</v>
      </c>
      <c r="G79" s="33">
        <v>2249685</v>
      </c>
      <c r="H79" s="22">
        <f t="shared" si="20"/>
        <v>2249.6849999999999</v>
      </c>
      <c r="I79" s="41">
        <v>0.93679999999999997</v>
      </c>
      <c r="J79" s="42">
        <f t="shared" si="21"/>
        <v>2107.5049079999999</v>
      </c>
    </row>
    <row r="80" spans="2:10" ht="15.75" thickBot="1" x14ac:dyDescent="0.3">
      <c r="B80" s="330" t="s">
        <v>70</v>
      </c>
      <c r="C80" s="331"/>
      <c r="D80" s="48">
        <f>SUM(D71:D79)</f>
        <v>18542700</v>
      </c>
      <c r="E80" s="49">
        <f>SUM(E71:E79)</f>
        <v>58500</v>
      </c>
      <c r="F80" s="274">
        <f t="shared" ref="F80:H80" si="22">SUM(F71:F79)</f>
        <v>18475425</v>
      </c>
      <c r="G80" s="49">
        <f t="shared" si="22"/>
        <v>18475425</v>
      </c>
      <c r="H80" s="62">
        <f t="shared" si="22"/>
        <v>18475.425000000003</v>
      </c>
      <c r="I80" s="54">
        <v>0.93679999999999997</v>
      </c>
      <c r="J80" s="55">
        <f>ROUNDDOWN(H80*I80,0)</f>
        <v>17307</v>
      </c>
    </row>
    <row r="81" spans="2:16" x14ac:dyDescent="0.25">
      <c r="B81" s="38">
        <v>44927</v>
      </c>
      <c r="C81" s="51">
        <v>44957</v>
      </c>
      <c r="D81" s="37">
        <v>2584800</v>
      </c>
      <c r="E81" s="14">
        <v>7200</v>
      </c>
      <c r="F81" s="273">
        <f>D81-(115%*E81)</f>
        <v>2576520</v>
      </c>
      <c r="G81" s="22">
        <v>2576520</v>
      </c>
      <c r="H81" s="22">
        <f>(MIN(F81,G81))/1000</f>
        <v>2576.52</v>
      </c>
      <c r="I81" s="35">
        <v>0.93679999999999997</v>
      </c>
      <c r="J81" s="36">
        <f>H81*I81</f>
        <v>2413.6839359999999</v>
      </c>
    </row>
    <row r="82" spans="2:16" x14ac:dyDescent="0.25">
      <c r="B82" s="39">
        <v>44958</v>
      </c>
      <c r="C82" s="52">
        <v>44985</v>
      </c>
      <c r="D82" s="46">
        <v>2377800</v>
      </c>
      <c r="E82" s="30">
        <v>6300</v>
      </c>
      <c r="F82" s="273">
        <f t="shared" ref="F82:F86" si="23">D82-(115%*E82)</f>
        <v>2370555</v>
      </c>
      <c r="G82" s="21">
        <v>2370555</v>
      </c>
      <c r="H82" s="22">
        <f t="shared" ref="H82:H86" si="24">(MIN(F82,G82))/1000</f>
        <v>2370.5549999999998</v>
      </c>
      <c r="I82" s="31">
        <v>0.93679999999999997</v>
      </c>
      <c r="J82" s="32">
        <f t="shared" ref="J82:J86" si="25">H82*I82</f>
        <v>2220.7359239999996</v>
      </c>
    </row>
    <row r="83" spans="2:16" x14ac:dyDescent="0.25">
      <c r="B83" s="38">
        <v>44986</v>
      </c>
      <c r="C83" s="51">
        <v>45016</v>
      </c>
      <c r="D83" s="46">
        <v>2624400</v>
      </c>
      <c r="E83" s="30">
        <v>7200</v>
      </c>
      <c r="F83" s="273">
        <f t="shared" si="23"/>
        <v>2616120</v>
      </c>
      <c r="G83" s="21">
        <v>2616120</v>
      </c>
      <c r="H83" s="22">
        <f t="shared" si="24"/>
        <v>2616.12</v>
      </c>
      <c r="I83" s="31">
        <v>0.93679999999999997</v>
      </c>
      <c r="J83" s="32">
        <f t="shared" si="25"/>
        <v>2450.7812159999999</v>
      </c>
    </row>
    <row r="84" spans="2:16" x14ac:dyDescent="0.25">
      <c r="B84" s="39">
        <v>45017</v>
      </c>
      <c r="C84" s="52">
        <v>45046</v>
      </c>
      <c r="D84" s="46">
        <v>2469600</v>
      </c>
      <c r="E84" s="30">
        <v>6300</v>
      </c>
      <c r="F84" s="273">
        <f t="shared" si="23"/>
        <v>2462355</v>
      </c>
      <c r="G84" s="21">
        <v>2462355</v>
      </c>
      <c r="H84" s="22">
        <f t="shared" si="24"/>
        <v>2462.355</v>
      </c>
      <c r="I84" s="31">
        <v>0.93679999999999997</v>
      </c>
      <c r="J84" s="32">
        <f t="shared" si="25"/>
        <v>2306.734164</v>
      </c>
    </row>
    <row r="85" spans="2:16" x14ac:dyDescent="0.25">
      <c r="B85" s="38">
        <v>45047</v>
      </c>
      <c r="C85" s="51">
        <v>45077</v>
      </c>
      <c r="D85" s="46">
        <v>2697840</v>
      </c>
      <c r="E85" s="30">
        <v>5130</v>
      </c>
      <c r="F85" s="273">
        <f t="shared" si="23"/>
        <v>2691940.5</v>
      </c>
      <c r="G85" s="21">
        <v>2691940</v>
      </c>
      <c r="H85" s="22">
        <f t="shared" si="24"/>
        <v>2691.94</v>
      </c>
      <c r="I85" s="31">
        <v>0.93679999999999997</v>
      </c>
      <c r="J85" s="32">
        <f t="shared" si="25"/>
        <v>2521.8093920000001</v>
      </c>
    </row>
    <row r="86" spans="2:16" ht="15.75" thickBot="1" x14ac:dyDescent="0.3">
      <c r="B86" s="39">
        <v>45078</v>
      </c>
      <c r="C86" s="52">
        <v>45107</v>
      </c>
      <c r="D86" s="254">
        <f>D92</f>
        <v>2304021</v>
      </c>
      <c r="E86" s="197">
        <f>E92</f>
        <v>5916</v>
      </c>
      <c r="F86" s="275">
        <f t="shared" si="23"/>
        <v>2297217.6</v>
      </c>
      <c r="G86" s="33">
        <v>2376432</v>
      </c>
      <c r="H86" s="22">
        <f t="shared" si="24"/>
        <v>2297.2175999999999</v>
      </c>
      <c r="I86" s="41">
        <v>0.93679999999999997</v>
      </c>
      <c r="J86" s="42">
        <f t="shared" si="25"/>
        <v>2152.0334476799999</v>
      </c>
      <c r="L86" s="306">
        <v>45078</v>
      </c>
      <c r="M86" s="307"/>
      <c r="N86" s="307"/>
      <c r="O86" s="307"/>
      <c r="P86" s="308"/>
    </row>
    <row r="87" spans="2:16" ht="15.75" thickBot="1" x14ac:dyDescent="0.3">
      <c r="B87" s="330" t="s">
        <v>71</v>
      </c>
      <c r="C87" s="331"/>
      <c r="D87" s="48">
        <f>SUM(D81:D86)</f>
        <v>15058461</v>
      </c>
      <c r="E87" s="49">
        <f>SUM(E81:E86)</f>
        <v>38046</v>
      </c>
      <c r="F87" s="274">
        <f>SUM(F81:F86)</f>
        <v>15014708.1</v>
      </c>
      <c r="G87" s="62">
        <f>SUM(G81:G86)</f>
        <v>15093922</v>
      </c>
      <c r="H87" s="62">
        <f>SUM(H81:H86)</f>
        <v>15014.7076</v>
      </c>
      <c r="I87" s="54">
        <v>0.93679999999999997</v>
      </c>
      <c r="J87" s="55">
        <f>ROUNDDOWN(H87*I87,0)</f>
        <v>14065</v>
      </c>
      <c r="L87" s="3"/>
      <c r="M87" s="3"/>
      <c r="N87" s="3" t="s">
        <v>138</v>
      </c>
      <c r="O87" s="3" t="s">
        <v>139</v>
      </c>
      <c r="P87" s="3"/>
    </row>
    <row r="88" spans="2:16" x14ac:dyDescent="0.25">
      <c r="B88" s="340" t="s">
        <v>3</v>
      </c>
      <c r="C88" s="341"/>
      <c r="D88" s="206">
        <f>D87+D80</f>
        <v>33601161</v>
      </c>
      <c r="E88" s="207">
        <f>E80+E87</f>
        <v>96546</v>
      </c>
      <c r="F88" s="277">
        <f>F87+F80</f>
        <v>33490133.100000001</v>
      </c>
      <c r="G88" s="208">
        <f>G87+G80</f>
        <v>33569347</v>
      </c>
      <c r="H88" s="208">
        <f>SUM(H80+H87)</f>
        <v>33490.132600000004</v>
      </c>
      <c r="I88" s="209">
        <v>0.93679999999999997</v>
      </c>
      <c r="J88" s="210">
        <f>ROUNDDOWN(SUM(J80+J87),0)</f>
        <v>31372</v>
      </c>
      <c r="L88" s="3" t="s">
        <v>127</v>
      </c>
      <c r="M88" s="30">
        <v>2383470</v>
      </c>
      <c r="N88" s="96">
        <f>M88/M90</f>
        <v>79449</v>
      </c>
      <c r="O88" s="96">
        <f>N88*M91</f>
        <v>2304021</v>
      </c>
      <c r="P88" s="3"/>
    </row>
    <row r="89" spans="2:16" s="1" customFormat="1" x14ac:dyDescent="0.25">
      <c r="B89" s="5" t="s">
        <v>136</v>
      </c>
      <c r="C89" s="5"/>
      <c r="D89" s="5"/>
      <c r="E89" s="5"/>
      <c r="F89" s="5"/>
      <c r="G89" s="5"/>
      <c r="H89" s="5"/>
      <c r="I89" s="5"/>
      <c r="J89" s="5"/>
      <c r="L89" s="3" t="s">
        <v>128</v>
      </c>
      <c r="M89" s="3">
        <v>6120</v>
      </c>
      <c r="N89" s="96">
        <f>M89/M90</f>
        <v>204</v>
      </c>
      <c r="O89" s="96">
        <f>N89*M91</f>
        <v>5916</v>
      </c>
      <c r="P89" s="3"/>
    </row>
    <row r="90" spans="2:16" s="1" customFormat="1" x14ac:dyDescent="0.25">
      <c r="L90" s="3" t="s">
        <v>129</v>
      </c>
      <c r="M90" s="3">
        <f>C91-B91</f>
        <v>30</v>
      </c>
      <c r="N90" s="3"/>
      <c r="O90" s="3"/>
      <c r="P90" s="3"/>
    </row>
    <row r="91" spans="2:16" s="1" customFormat="1" x14ac:dyDescent="0.25">
      <c r="B91" s="201">
        <v>45078</v>
      </c>
      <c r="C91" s="201">
        <v>45108</v>
      </c>
      <c r="D91" s="211">
        <v>2383470</v>
      </c>
      <c r="E91" s="211">
        <v>6120</v>
      </c>
      <c r="L91" s="3" t="s">
        <v>130</v>
      </c>
      <c r="M91" s="3">
        <f>C92-B92</f>
        <v>29</v>
      </c>
      <c r="N91" s="3"/>
      <c r="O91" s="3"/>
      <c r="P91" s="3"/>
    </row>
    <row r="92" spans="2:16" s="1" customFormat="1" x14ac:dyDescent="0.25">
      <c r="B92" s="201">
        <v>45078</v>
      </c>
      <c r="C92" s="201">
        <v>45107</v>
      </c>
      <c r="D92" s="63">
        <f>O88</f>
        <v>2304021</v>
      </c>
      <c r="E92" s="63">
        <f>O89</f>
        <v>5916</v>
      </c>
    </row>
    <row r="93" spans="2:16" ht="15.75" thickBot="1" x14ac:dyDescent="0.3">
      <c r="B93" s="66"/>
    </row>
    <row r="94" spans="2:16" ht="15.75" thickBot="1" x14ac:dyDescent="0.3">
      <c r="B94" s="111" t="s">
        <v>51</v>
      </c>
    </row>
    <row r="95" spans="2:16" x14ac:dyDescent="0.25">
      <c r="B95" s="111" t="s">
        <v>22</v>
      </c>
    </row>
    <row r="96" spans="2:16" ht="15.75" thickBot="1" x14ac:dyDescent="0.3">
      <c r="B96" s="113">
        <v>17151028</v>
      </c>
      <c r="E96" s="7"/>
    </row>
    <row r="97" spans="2:2" ht="25.5" x14ac:dyDescent="0.25">
      <c r="B97" s="112" t="s">
        <v>78</v>
      </c>
    </row>
    <row r="98" spans="2:2" ht="15.75" thickBot="1" x14ac:dyDescent="0.3">
      <c r="B98" s="113">
        <v>17151010</v>
      </c>
    </row>
    <row r="99" spans="2:2" ht="15.75" thickBot="1" x14ac:dyDescent="0.3">
      <c r="B99" s="66"/>
    </row>
    <row r="100" spans="2:2" x14ac:dyDescent="0.25">
      <c r="B100" s="111" t="s">
        <v>22</v>
      </c>
    </row>
    <row r="101" spans="2:2" ht="15.75" thickBot="1" x14ac:dyDescent="0.3">
      <c r="B101" s="113">
        <v>17151045</v>
      </c>
    </row>
    <row r="102" spans="2:2" x14ac:dyDescent="0.25">
      <c r="B102" s="112" t="s">
        <v>79</v>
      </c>
    </row>
    <row r="103" spans="2:2" ht="15.75" thickBot="1" x14ac:dyDescent="0.3">
      <c r="B103" s="113">
        <v>17151050</v>
      </c>
    </row>
  </sheetData>
  <mergeCells count="44">
    <mergeCell ref="D69:F69"/>
    <mergeCell ref="D40:F40"/>
    <mergeCell ref="B67:C67"/>
    <mergeCell ref="B68:C68"/>
    <mergeCell ref="B69:C69"/>
    <mergeCell ref="B59:C59"/>
    <mergeCell ref="B37:C37"/>
    <mergeCell ref="B58:C58"/>
    <mergeCell ref="B9:C9"/>
    <mergeCell ref="B87:C87"/>
    <mergeCell ref="B80:C80"/>
    <mergeCell ref="B70:C70"/>
    <mergeCell ref="D7:F7"/>
    <mergeCell ref="D9:F9"/>
    <mergeCell ref="B88:C88"/>
    <mergeCell ref="G6:J8"/>
    <mergeCell ref="B27:C27"/>
    <mergeCell ref="D68:F68"/>
    <mergeCell ref="D67:F67"/>
    <mergeCell ref="B66:C66"/>
    <mergeCell ref="D6:F6"/>
    <mergeCell ref="D66:F66"/>
    <mergeCell ref="B20:C20"/>
    <mergeCell ref="B28:C28"/>
    <mergeCell ref="B6:C6"/>
    <mergeCell ref="D38:F38"/>
    <mergeCell ref="D39:F39"/>
    <mergeCell ref="D37:F37"/>
    <mergeCell ref="L86:P86"/>
    <mergeCell ref="L28:P28"/>
    <mergeCell ref="G37:J39"/>
    <mergeCell ref="G66:J68"/>
    <mergeCell ref="B2:F2"/>
    <mergeCell ref="B4:F4"/>
    <mergeCell ref="B3:F3"/>
    <mergeCell ref="B38:C38"/>
    <mergeCell ref="B39:C39"/>
    <mergeCell ref="B40:C40"/>
    <mergeCell ref="B41:C41"/>
    <mergeCell ref="B51:C51"/>
    <mergeCell ref="B7:C7"/>
    <mergeCell ref="B8:C8"/>
    <mergeCell ref="B10:C10"/>
    <mergeCell ref="D8:F8"/>
  </mergeCells>
  <pageMargins left="0.7" right="0.7" top="0.75" bottom="0.75" header="0.3" footer="0.3"/>
  <pageSetup orientation="portrait" r:id="rId1"/>
  <ignoredErrors>
    <ignoredError sqref="F20" 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B1:S70"/>
  <sheetViews>
    <sheetView zoomScaleNormal="100" workbookViewId="0">
      <selection activeCell="G36" sqref="G36"/>
    </sheetView>
  </sheetViews>
  <sheetFormatPr defaultColWidth="9.140625" defaultRowHeight="15" x14ac:dyDescent="0.25"/>
  <cols>
    <col min="1" max="1" width="8.5703125" style="24" customWidth="1"/>
    <col min="2" max="2" width="12.140625" style="24" bestFit="1" customWidth="1"/>
    <col min="3" max="3" width="10.28515625" style="24" bestFit="1" customWidth="1"/>
    <col min="4" max="4" width="9" style="24" bestFit="1" customWidth="1"/>
    <col min="5" max="5" width="7" style="24" bestFit="1" customWidth="1"/>
    <col min="6" max="6" width="10.42578125" style="24" bestFit="1" customWidth="1"/>
    <col min="7" max="7" width="15.5703125" style="24" bestFit="1" customWidth="1"/>
    <col min="8" max="8" width="20.140625" style="24" bestFit="1" customWidth="1"/>
    <col min="9" max="9" width="14.85546875" style="24" bestFit="1" customWidth="1"/>
    <col min="10" max="10" width="19.42578125" style="24" bestFit="1" customWidth="1"/>
    <col min="11" max="11" width="16.28515625" style="24" bestFit="1" customWidth="1"/>
    <col min="12" max="12" width="8.85546875" style="24" bestFit="1" customWidth="1"/>
    <col min="13" max="14" width="9.140625" style="24"/>
    <col min="15" max="15" width="32.42578125" style="24" customWidth="1"/>
    <col min="16" max="16" width="10.140625" style="24" customWidth="1"/>
    <col min="17" max="17" width="12" style="24" customWidth="1"/>
    <col min="18" max="16384" width="9.140625" style="24"/>
  </cols>
  <sheetData>
    <row r="1" spans="2:17" ht="15.75" thickBot="1" x14ac:dyDescent="0.3"/>
    <row r="2" spans="2:17" x14ac:dyDescent="0.25">
      <c r="B2" s="315" t="s">
        <v>57</v>
      </c>
      <c r="C2" s="316"/>
      <c r="D2" s="316"/>
      <c r="E2" s="316"/>
      <c r="F2" s="317"/>
      <c r="G2" s="110">
        <f>25+25</f>
        <v>50</v>
      </c>
    </row>
    <row r="3" spans="2:17" x14ac:dyDescent="0.25">
      <c r="B3" s="321" t="s">
        <v>58</v>
      </c>
      <c r="C3" s="322"/>
      <c r="D3" s="322"/>
      <c r="E3" s="322"/>
      <c r="F3" s="323"/>
      <c r="G3" s="19">
        <f>H28+H60</f>
        <v>103520.76209255101</v>
      </c>
    </row>
    <row r="4" spans="2:17" ht="15.75" thickBot="1" x14ac:dyDescent="0.3">
      <c r="B4" s="318" t="s">
        <v>59</v>
      </c>
      <c r="C4" s="319"/>
      <c r="D4" s="319"/>
      <c r="E4" s="319"/>
      <c r="F4" s="320"/>
      <c r="G4" s="20">
        <f>J28+J60</f>
        <v>96976</v>
      </c>
    </row>
    <row r="5" spans="2:17" ht="15.75" thickBot="1" x14ac:dyDescent="0.3"/>
    <row r="6" spans="2:17" ht="15.75" thickBot="1" x14ac:dyDescent="0.3">
      <c r="B6" s="328" t="s">
        <v>63</v>
      </c>
      <c r="C6" s="329"/>
      <c r="D6" s="328" t="s">
        <v>82</v>
      </c>
      <c r="E6" s="344"/>
      <c r="F6" s="329"/>
      <c r="G6" s="309"/>
      <c r="H6" s="309"/>
      <c r="I6" s="309"/>
      <c r="J6" s="310"/>
    </row>
    <row r="7" spans="2:17" ht="15.75" thickBot="1" x14ac:dyDescent="0.3">
      <c r="B7" s="324" t="s">
        <v>67</v>
      </c>
      <c r="C7" s="325"/>
      <c r="D7" s="324" t="s">
        <v>85</v>
      </c>
      <c r="E7" s="335"/>
      <c r="F7" s="336"/>
      <c r="G7" s="311"/>
      <c r="H7" s="311"/>
      <c r="I7" s="311"/>
      <c r="J7" s="312"/>
    </row>
    <row r="8" spans="2:17" ht="15.75" thickBot="1" x14ac:dyDescent="0.3">
      <c r="B8" s="326" t="s">
        <v>31</v>
      </c>
      <c r="C8" s="327"/>
      <c r="D8" s="332" t="s">
        <v>30</v>
      </c>
      <c r="E8" s="333"/>
      <c r="F8" s="334"/>
      <c r="G8" s="313"/>
      <c r="H8" s="313"/>
      <c r="I8" s="313"/>
      <c r="J8" s="314"/>
    </row>
    <row r="9" spans="2:17" ht="15.75" thickBot="1" x14ac:dyDescent="0.3">
      <c r="B9" s="328" t="s">
        <v>74</v>
      </c>
      <c r="C9" s="329"/>
      <c r="D9" s="337" t="s">
        <v>83</v>
      </c>
      <c r="E9" s="338"/>
      <c r="F9" s="339"/>
      <c r="G9" s="350"/>
      <c r="H9" s="350"/>
      <c r="I9" s="350"/>
      <c r="J9" s="351"/>
    </row>
    <row r="10" spans="2:17" ht="45.75" thickBot="1" x14ac:dyDescent="0.3">
      <c r="B10" s="326" t="s">
        <v>0</v>
      </c>
      <c r="C10" s="327"/>
      <c r="D10" s="43" t="s">
        <v>72</v>
      </c>
      <c r="E10" s="44" t="s">
        <v>73</v>
      </c>
      <c r="F10" s="61" t="s">
        <v>64</v>
      </c>
      <c r="G10" s="44" t="s">
        <v>68</v>
      </c>
      <c r="H10" s="44" t="s">
        <v>69</v>
      </c>
      <c r="I10" s="44" t="s">
        <v>1</v>
      </c>
      <c r="J10" s="45" t="s">
        <v>2</v>
      </c>
    </row>
    <row r="11" spans="2:17" x14ac:dyDescent="0.25">
      <c r="B11" s="38">
        <v>44652</v>
      </c>
      <c r="C11" s="51">
        <v>44684</v>
      </c>
      <c r="D11" s="195">
        <f>D32</f>
        <v>4251105.1209677421</v>
      </c>
      <c r="E11" s="197">
        <f>E32</f>
        <v>19930.877419354838</v>
      </c>
      <c r="F11" s="200">
        <f>D11-E11</f>
        <v>4231174.2435483877</v>
      </c>
      <c r="G11" s="79">
        <v>4111985.4</v>
      </c>
      <c r="H11" s="22">
        <f>(MIN(F11,G11))/1000</f>
        <v>4111.9853999999996</v>
      </c>
      <c r="I11" s="119">
        <v>0.93679999999999997</v>
      </c>
      <c r="J11" s="36">
        <f t="shared" ref="J11:J26" si="0">H11*I11</f>
        <v>3852.1079227199994</v>
      </c>
      <c r="M11" s="1"/>
      <c r="O11" s="228"/>
      <c r="P11" s="229"/>
    </row>
    <row r="12" spans="2:17" x14ac:dyDescent="0.25">
      <c r="B12" s="39">
        <v>44684</v>
      </c>
      <c r="C12" s="52">
        <v>44718</v>
      </c>
      <c r="D12" s="82">
        <v>4618680.5999999996</v>
      </c>
      <c r="E12" s="63">
        <v>20742.150000000001</v>
      </c>
      <c r="F12" s="81">
        <f t="shared" ref="F12:F19" si="1">D12-E12</f>
        <v>4597938.4499999993</v>
      </c>
      <c r="G12" s="82">
        <v>4597938.5</v>
      </c>
      <c r="H12" s="22">
        <f t="shared" ref="H12:H19" si="2">(MIN(F12,G12))/1000</f>
        <v>4597.9384499999996</v>
      </c>
      <c r="I12" s="119">
        <v>0.93679999999999997</v>
      </c>
      <c r="J12" s="32">
        <f t="shared" si="0"/>
        <v>4307.3487399599999</v>
      </c>
      <c r="M12" s="347">
        <v>44652</v>
      </c>
      <c r="N12" s="348"/>
      <c r="O12" s="348"/>
      <c r="P12" s="348"/>
      <c r="Q12" s="349"/>
    </row>
    <row r="13" spans="2:17" x14ac:dyDescent="0.25">
      <c r="B13" s="39">
        <v>44718</v>
      </c>
      <c r="C13" s="52">
        <v>44742</v>
      </c>
      <c r="D13" s="82">
        <v>3121416.75</v>
      </c>
      <c r="E13" s="63">
        <v>13786.95</v>
      </c>
      <c r="F13" s="81">
        <f t="shared" si="1"/>
        <v>3107629.8</v>
      </c>
      <c r="G13" s="82">
        <v>3107629.8</v>
      </c>
      <c r="H13" s="22">
        <f t="shared" si="2"/>
        <v>3107.6297999999997</v>
      </c>
      <c r="I13" s="119">
        <v>0.93679999999999997</v>
      </c>
      <c r="J13" s="32">
        <f t="shared" si="0"/>
        <v>2911.2275966399998</v>
      </c>
      <c r="M13" s="5"/>
      <c r="N13" s="3"/>
      <c r="O13" s="3"/>
      <c r="P13" s="253" t="s">
        <v>131</v>
      </c>
      <c r="Q13" s="253" t="s">
        <v>137</v>
      </c>
    </row>
    <row r="14" spans="2:17" x14ac:dyDescent="0.25">
      <c r="B14" s="38">
        <v>44742</v>
      </c>
      <c r="C14" s="51">
        <v>44775</v>
      </c>
      <c r="D14" s="82">
        <v>3563501.25</v>
      </c>
      <c r="E14" s="63">
        <v>20594.25</v>
      </c>
      <c r="F14" s="81">
        <f t="shared" si="1"/>
        <v>3542907</v>
      </c>
      <c r="G14" s="82">
        <v>3542907</v>
      </c>
      <c r="H14" s="22">
        <f t="shared" si="2"/>
        <v>3542.9070000000002</v>
      </c>
      <c r="I14" s="119">
        <v>0.93679999999999997</v>
      </c>
      <c r="J14" s="32">
        <f t="shared" si="0"/>
        <v>3318.9952776</v>
      </c>
      <c r="M14" s="5"/>
      <c r="N14" s="3" t="s">
        <v>127</v>
      </c>
      <c r="O14" s="30">
        <v>4312711.3499999996</v>
      </c>
      <c r="P14" s="96">
        <f>O14/O16</f>
        <v>139119.72096774192</v>
      </c>
      <c r="Q14" s="96">
        <f>P14*O17</f>
        <v>139119.72096774192</v>
      </c>
    </row>
    <row r="15" spans="2:17" x14ac:dyDescent="0.25">
      <c r="B15" s="39">
        <v>44775</v>
      </c>
      <c r="C15" s="52">
        <v>44805</v>
      </c>
      <c r="D15" s="82">
        <v>3752231.85</v>
      </c>
      <c r="E15" s="63">
        <v>18186.3</v>
      </c>
      <c r="F15" s="81">
        <f t="shared" si="1"/>
        <v>3734045.5500000003</v>
      </c>
      <c r="G15" s="82">
        <v>3734045.6</v>
      </c>
      <c r="H15" s="22">
        <f t="shared" si="2"/>
        <v>3734.0455500000003</v>
      </c>
      <c r="I15" s="119">
        <v>0.93679999999999997</v>
      </c>
      <c r="J15" s="32">
        <f t="shared" si="0"/>
        <v>3498.0538712400003</v>
      </c>
      <c r="M15" s="5"/>
      <c r="N15" s="3" t="s">
        <v>128</v>
      </c>
      <c r="O15" s="30">
        <v>19695.150000000001</v>
      </c>
      <c r="P15" s="96">
        <f>O15/O16</f>
        <v>635.32741935483875</v>
      </c>
      <c r="Q15" s="96">
        <f>P15*O17</f>
        <v>635.32741935483875</v>
      </c>
    </row>
    <row r="16" spans="2:17" x14ac:dyDescent="0.25">
      <c r="B16" s="39">
        <v>44805</v>
      </c>
      <c r="C16" s="52">
        <v>44835</v>
      </c>
      <c r="D16" s="82">
        <v>3494691.6</v>
      </c>
      <c r="E16" s="80">
        <v>19681.8</v>
      </c>
      <c r="F16" s="81">
        <f t="shared" si="1"/>
        <v>3475009.8000000003</v>
      </c>
      <c r="G16" s="82">
        <v>3475009.8</v>
      </c>
      <c r="H16" s="22">
        <f t="shared" si="2"/>
        <v>3475.0097999999998</v>
      </c>
      <c r="I16" s="119">
        <v>0.93679999999999997</v>
      </c>
      <c r="J16" s="32">
        <f t="shared" si="0"/>
        <v>3255.3891806399997</v>
      </c>
      <c r="M16" s="5"/>
      <c r="N16" s="3" t="s">
        <v>129</v>
      </c>
      <c r="O16" s="3">
        <f>C30-B30</f>
        <v>31</v>
      </c>
      <c r="P16" s="3"/>
      <c r="Q16" s="3"/>
    </row>
    <row r="17" spans="2:17" x14ac:dyDescent="0.25">
      <c r="B17" s="38">
        <v>44835</v>
      </c>
      <c r="C17" s="51">
        <v>44868</v>
      </c>
      <c r="D17" s="82">
        <v>3523659</v>
      </c>
      <c r="E17" s="63">
        <v>22426.05</v>
      </c>
      <c r="F17" s="81">
        <f t="shared" si="1"/>
        <v>3501232.95</v>
      </c>
      <c r="G17" s="82">
        <v>3501232.95</v>
      </c>
      <c r="H17" s="22">
        <f t="shared" si="2"/>
        <v>3501.2329500000001</v>
      </c>
      <c r="I17" s="119">
        <v>0.93679999999999997</v>
      </c>
      <c r="J17" s="32">
        <f t="shared" si="0"/>
        <v>3279.95502756</v>
      </c>
      <c r="M17" s="5"/>
      <c r="N17" s="3" t="s">
        <v>130</v>
      </c>
      <c r="O17" s="3">
        <v>1</v>
      </c>
      <c r="P17" s="3"/>
      <c r="Q17" s="3"/>
    </row>
    <row r="18" spans="2:17" x14ac:dyDescent="0.25">
      <c r="B18" s="39">
        <v>44868</v>
      </c>
      <c r="C18" s="52">
        <v>44897</v>
      </c>
      <c r="D18" s="82">
        <v>2154685.35</v>
      </c>
      <c r="E18" s="63">
        <v>21172.5</v>
      </c>
      <c r="F18" s="81">
        <f t="shared" si="1"/>
        <v>2133512.85</v>
      </c>
      <c r="G18" s="82">
        <v>2133512.85</v>
      </c>
      <c r="H18" s="22">
        <f t="shared" si="2"/>
        <v>2133.5128500000001</v>
      </c>
      <c r="I18" s="119">
        <v>0.93679999999999997</v>
      </c>
      <c r="J18" s="32">
        <f t="shared" si="0"/>
        <v>1998.67483788</v>
      </c>
      <c r="M18" s="5"/>
      <c r="N18" s="3"/>
      <c r="O18" s="3"/>
      <c r="P18" s="3"/>
      <c r="Q18" s="3"/>
    </row>
    <row r="19" spans="2:17" ht="15.75" thickBot="1" x14ac:dyDescent="0.3">
      <c r="B19" s="40">
        <v>44897</v>
      </c>
      <c r="C19" s="53">
        <v>44564</v>
      </c>
      <c r="D19" s="83">
        <v>2247531.2999999998</v>
      </c>
      <c r="E19" s="63">
        <v>25979.55</v>
      </c>
      <c r="F19" s="81">
        <f t="shared" si="1"/>
        <v>2221551.75</v>
      </c>
      <c r="G19" s="83">
        <v>2221551.75</v>
      </c>
      <c r="H19" s="22">
        <f t="shared" si="2"/>
        <v>2221.5517500000001</v>
      </c>
      <c r="I19" s="119">
        <v>0.93679999999999997</v>
      </c>
      <c r="J19" s="42">
        <f t="shared" si="0"/>
        <v>2081.1496794</v>
      </c>
    </row>
    <row r="20" spans="2:17" ht="15.75" thickBot="1" x14ac:dyDescent="0.3">
      <c r="B20" s="373" t="s">
        <v>70</v>
      </c>
      <c r="C20" s="374"/>
      <c r="D20" s="84">
        <f>SUM(D11:D19)</f>
        <v>30727502.820967745</v>
      </c>
      <c r="E20" s="62">
        <f t="shared" ref="E20:F20" si="3">SUM(E11:E19)</f>
        <v>182500.42741935482</v>
      </c>
      <c r="F20" s="85">
        <f t="shared" si="3"/>
        <v>30545002.393548388</v>
      </c>
      <c r="G20" s="62">
        <f>SUM(G11:G19)</f>
        <v>30425813.650000002</v>
      </c>
      <c r="H20" s="62">
        <f>SUM(H11:H19)</f>
        <v>30425.813549999995</v>
      </c>
      <c r="I20" s="120">
        <v>0.93679999999999997</v>
      </c>
      <c r="J20" s="55">
        <f>ROUNDDOWN(H20*I20,0)</f>
        <v>28502</v>
      </c>
    </row>
    <row r="21" spans="2:17" x14ac:dyDescent="0.25">
      <c r="B21" s="38">
        <v>44929</v>
      </c>
      <c r="C21" s="51">
        <v>44959</v>
      </c>
      <c r="D21" s="79">
        <v>2044154.1</v>
      </c>
      <c r="E21" s="80">
        <v>24794.1</v>
      </c>
      <c r="F21" s="81">
        <f>D21-E21</f>
        <v>2019360</v>
      </c>
      <c r="G21" s="79">
        <v>2019360</v>
      </c>
      <c r="H21" s="22">
        <f>(MIN(F21,G21))/1000</f>
        <v>2019.36</v>
      </c>
      <c r="I21" s="119">
        <v>0.93679999999999997</v>
      </c>
      <c r="J21" s="36">
        <f t="shared" si="0"/>
        <v>1891.7364479999999</v>
      </c>
    </row>
    <row r="22" spans="2:17" x14ac:dyDescent="0.25">
      <c r="B22" s="39">
        <v>44959</v>
      </c>
      <c r="C22" s="52">
        <v>44987</v>
      </c>
      <c r="D22" s="82">
        <v>3400294.35</v>
      </c>
      <c r="E22" s="63">
        <v>21292.65</v>
      </c>
      <c r="F22" s="81">
        <f t="shared" ref="F22:F26" si="4">D22-E22</f>
        <v>3379001.7</v>
      </c>
      <c r="G22" s="82">
        <v>3379001.7</v>
      </c>
      <c r="H22" s="22">
        <f t="shared" ref="H22:H26" si="5">(MIN(F22,G22))/1000</f>
        <v>3379.0017000000003</v>
      </c>
      <c r="I22" s="121">
        <v>0.93679999999999997</v>
      </c>
      <c r="J22" s="32">
        <f t="shared" si="0"/>
        <v>3165.4487925600001</v>
      </c>
    </row>
    <row r="23" spans="2:17" x14ac:dyDescent="0.25">
      <c r="B23" s="39">
        <v>44987</v>
      </c>
      <c r="C23" s="52">
        <v>45020</v>
      </c>
      <c r="D23" s="82">
        <v>4262928.1500000004</v>
      </c>
      <c r="E23" s="63">
        <v>24062.85</v>
      </c>
      <c r="F23" s="81">
        <f t="shared" si="4"/>
        <v>4238865.3000000007</v>
      </c>
      <c r="G23" s="82">
        <v>4238865.3</v>
      </c>
      <c r="H23" s="22">
        <f t="shared" si="5"/>
        <v>4238.8652999999995</v>
      </c>
      <c r="I23" s="121">
        <v>0.93679999999999997</v>
      </c>
      <c r="J23" s="32">
        <f t="shared" si="0"/>
        <v>3970.9690130399995</v>
      </c>
    </row>
    <row r="24" spans="2:17" x14ac:dyDescent="0.25">
      <c r="B24" s="38">
        <v>45020</v>
      </c>
      <c r="C24" s="51">
        <v>45048</v>
      </c>
      <c r="D24" s="82">
        <v>3811157.1</v>
      </c>
      <c r="E24" s="63">
        <v>16455.599999999999</v>
      </c>
      <c r="F24" s="81">
        <f t="shared" si="4"/>
        <v>3794701.5</v>
      </c>
      <c r="G24" s="82">
        <v>3794701.5</v>
      </c>
      <c r="H24" s="22">
        <f t="shared" si="5"/>
        <v>3794.7015000000001</v>
      </c>
      <c r="I24" s="121">
        <v>0.93679999999999997</v>
      </c>
      <c r="J24" s="32">
        <f t="shared" si="0"/>
        <v>3554.8763651999998</v>
      </c>
    </row>
    <row r="25" spans="2:17" x14ac:dyDescent="0.25">
      <c r="B25" s="39">
        <v>45048</v>
      </c>
      <c r="C25" s="52">
        <v>45078</v>
      </c>
      <c r="D25" s="82">
        <v>4461309.9000000004</v>
      </c>
      <c r="E25" s="63">
        <v>18270.150000000001</v>
      </c>
      <c r="F25" s="81">
        <f t="shared" si="4"/>
        <v>4443039.75</v>
      </c>
      <c r="G25" s="82">
        <v>4443039.75</v>
      </c>
      <c r="H25" s="22">
        <f t="shared" si="5"/>
        <v>4443.0397499999999</v>
      </c>
      <c r="I25" s="121">
        <v>0.93679999999999997</v>
      </c>
      <c r="J25" s="32">
        <f t="shared" si="0"/>
        <v>4162.2396377999994</v>
      </c>
    </row>
    <row r="26" spans="2:17" ht="15.75" thickBot="1" x14ac:dyDescent="0.3">
      <c r="B26" s="40">
        <v>45078</v>
      </c>
      <c r="C26" s="53">
        <v>45107</v>
      </c>
      <c r="D26" s="254">
        <f>D36</f>
        <v>4044476.3000000003</v>
      </c>
      <c r="E26" s="197">
        <f>E36</f>
        <v>17314.885000000002</v>
      </c>
      <c r="F26" s="200">
        <f t="shared" si="4"/>
        <v>4027161.4150000005</v>
      </c>
      <c r="G26" s="259">
        <v>4166029.05</v>
      </c>
      <c r="H26" s="22">
        <f t="shared" si="5"/>
        <v>4027.1614150000005</v>
      </c>
      <c r="I26" s="122">
        <v>0.93679999999999997</v>
      </c>
      <c r="J26" s="42">
        <f t="shared" si="0"/>
        <v>3772.6448135720002</v>
      </c>
    </row>
    <row r="27" spans="2:17" ht="15.75" thickBot="1" x14ac:dyDescent="0.3">
      <c r="B27" s="330" t="s">
        <v>71</v>
      </c>
      <c r="C27" s="331"/>
      <c r="D27" s="84">
        <f t="shared" ref="D27:F27" si="6">SUM(D21:D26)</f>
        <v>22024319.900000002</v>
      </c>
      <c r="E27" s="62">
        <f t="shared" si="6"/>
        <v>122190.23500000002</v>
      </c>
      <c r="F27" s="85">
        <f t="shared" si="6"/>
        <v>21902129.664999999</v>
      </c>
      <c r="G27" s="62">
        <f>SUM(G21:G26)</f>
        <v>22040997.300000001</v>
      </c>
      <c r="H27" s="62">
        <f>SUM(H21:H26)</f>
        <v>21902.129665</v>
      </c>
      <c r="I27" s="120">
        <v>0.93679999999999997</v>
      </c>
      <c r="J27" s="55">
        <f>ROUNDDOWN(H27*I27,0)</f>
        <v>20517</v>
      </c>
    </row>
    <row r="28" spans="2:17" ht="15.75" thickBot="1" x14ac:dyDescent="0.3">
      <c r="B28" s="345" t="s">
        <v>3</v>
      </c>
      <c r="C28" s="346"/>
      <c r="D28" s="86">
        <f>D20+D27</f>
        <v>52751822.720967747</v>
      </c>
      <c r="E28" s="87">
        <f>E20+E27</f>
        <v>304690.66241935483</v>
      </c>
      <c r="F28" s="88">
        <f>F20+F27</f>
        <v>52447132.058548391</v>
      </c>
      <c r="G28" s="58">
        <f>G27+G20</f>
        <v>52466810.950000003</v>
      </c>
      <c r="H28" s="58">
        <f>SUM(H20+H27)</f>
        <v>52327.943214999992</v>
      </c>
      <c r="I28" s="59">
        <v>0.93679999999999997</v>
      </c>
      <c r="J28" s="60">
        <f>ROUNDDOWN(SUM(J20+J27),0)</f>
        <v>49019</v>
      </c>
    </row>
    <row r="29" spans="2:17" x14ac:dyDescent="0.25">
      <c r="B29" s="198"/>
      <c r="C29" s="198"/>
      <c r="D29" s="7"/>
      <c r="E29" s="7"/>
      <c r="F29" s="7"/>
      <c r="G29" s="162"/>
      <c r="H29" s="162"/>
      <c r="I29" s="199"/>
      <c r="J29" s="162"/>
    </row>
    <row r="30" spans="2:17" x14ac:dyDescent="0.25">
      <c r="B30" s="201">
        <v>44622</v>
      </c>
      <c r="C30" s="201">
        <v>44653</v>
      </c>
      <c r="D30" s="188">
        <v>4312711.3499999996</v>
      </c>
      <c r="E30" s="189">
        <v>19695.150000000001</v>
      </c>
      <c r="F30" s="7"/>
      <c r="G30" s="162"/>
      <c r="H30" s="162"/>
      <c r="I30" s="199"/>
      <c r="J30" s="162"/>
      <c r="M30" s="306">
        <v>45078</v>
      </c>
      <c r="N30" s="307"/>
      <c r="O30" s="307"/>
      <c r="P30" s="307"/>
      <c r="Q30" s="308"/>
    </row>
    <row r="31" spans="2:17" ht="25.15" customHeight="1" x14ac:dyDescent="0.25">
      <c r="B31" s="201">
        <v>44653</v>
      </c>
      <c r="C31" s="201">
        <v>44684</v>
      </c>
      <c r="D31" s="79">
        <v>4111985.4</v>
      </c>
      <c r="E31" s="80">
        <v>19295.55</v>
      </c>
      <c r="F31" s="7"/>
      <c r="G31" s="162"/>
      <c r="H31" s="162"/>
      <c r="I31" s="199"/>
      <c r="J31" s="162"/>
      <c r="M31" s="5"/>
      <c r="N31" s="3"/>
      <c r="O31" s="3"/>
      <c r="P31" s="253" t="s">
        <v>131</v>
      </c>
      <c r="Q31" s="253" t="s">
        <v>137</v>
      </c>
    </row>
    <row r="32" spans="2:17" x14ac:dyDescent="0.25">
      <c r="B32" s="201">
        <v>44652</v>
      </c>
      <c r="C32" s="201">
        <v>44684</v>
      </c>
      <c r="D32" s="202">
        <f>D31+Q14</f>
        <v>4251105.1209677421</v>
      </c>
      <c r="E32" s="202">
        <f>Q15+E31</f>
        <v>19930.877419354838</v>
      </c>
      <c r="F32" s="7"/>
      <c r="G32" s="162"/>
      <c r="H32" s="162"/>
      <c r="I32" s="199"/>
      <c r="J32" s="162"/>
      <c r="M32" s="5"/>
      <c r="N32" s="3" t="s">
        <v>127</v>
      </c>
      <c r="O32" s="30">
        <v>4183941</v>
      </c>
      <c r="P32" s="96">
        <f>O32/O34</f>
        <v>139464.70000000001</v>
      </c>
      <c r="Q32" s="96">
        <f>P32*O35</f>
        <v>4044476.3000000003</v>
      </c>
    </row>
    <row r="33" spans="2:18" ht="12" customHeight="1" x14ac:dyDescent="0.25">
      <c r="B33" s="198"/>
      <c r="C33" s="198"/>
      <c r="D33" s="7"/>
      <c r="E33" s="7"/>
      <c r="F33" s="7"/>
      <c r="G33" s="162"/>
      <c r="H33" s="162"/>
      <c r="I33" s="199"/>
      <c r="J33" s="162"/>
      <c r="M33" s="5"/>
      <c r="N33" s="3" t="s">
        <v>128</v>
      </c>
      <c r="O33" s="30">
        <v>17911.95</v>
      </c>
      <c r="P33" s="96">
        <f>O33/O34</f>
        <v>597.06500000000005</v>
      </c>
      <c r="Q33" s="96">
        <f>P33*O35</f>
        <v>17314.885000000002</v>
      </c>
    </row>
    <row r="34" spans="2:18" ht="12" customHeight="1" x14ac:dyDescent="0.25">
      <c r="B34" s="198"/>
      <c r="C34" s="198"/>
      <c r="D34" s="7"/>
      <c r="E34" s="7"/>
      <c r="F34" s="7"/>
      <c r="G34" s="162"/>
      <c r="H34" s="162"/>
      <c r="I34" s="199"/>
      <c r="J34" s="162"/>
      <c r="M34" s="5"/>
      <c r="N34" s="3" t="s">
        <v>129</v>
      </c>
      <c r="O34" s="3">
        <f>C35-B35</f>
        <v>30</v>
      </c>
      <c r="P34" s="3"/>
      <c r="Q34" s="3"/>
    </row>
    <row r="35" spans="2:18" ht="12" customHeight="1" x14ac:dyDescent="0.25">
      <c r="B35" s="201">
        <v>45078</v>
      </c>
      <c r="C35" s="201">
        <v>45108</v>
      </c>
      <c r="D35" s="188">
        <v>4183941</v>
      </c>
      <c r="E35" s="189">
        <v>17911.95</v>
      </c>
      <c r="F35" s="7"/>
      <c r="G35" s="162"/>
      <c r="H35" s="162"/>
      <c r="I35" s="199"/>
      <c r="J35" s="162"/>
      <c r="M35" s="5"/>
      <c r="N35" s="3" t="s">
        <v>130</v>
      </c>
      <c r="O35" s="3">
        <f>C36-B36</f>
        <v>29</v>
      </c>
      <c r="P35" s="3"/>
      <c r="Q35" s="3"/>
    </row>
    <row r="36" spans="2:18" x14ac:dyDescent="0.25">
      <c r="B36" s="201">
        <v>45078</v>
      </c>
      <c r="C36" s="201">
        <v>45107</v>
      </c>
      <c r="D36" s="195">
        <f>Q32</f>
        <v>4044476.3000000003</v>
      </c>
      <c r="E36" s="197">
        <f>Q33</f>
        <v>17314.885000000002</v>
      </c>
      <c r="F36" s="7"/>
      <c r="G36" s="162"/>
      <c r="H36" s="162"/>
      <c r="I36" s="199"/>
      <c r="J36" s="162"/>
      <c r="M36" s="5"/>
      <c r="N36" s="3"/>
      <c r="O36" s="3"/>
      <c r="P36" s="3"/>
      <c r="Q36" s="3"/>
    </row>
    <row r="37" spans="2:18" ht="15.75" thickBot="1" x14ac:dyDescent="0.3">
      <c r="D37" s="7"/>
      <c r="E37" s="7"/>
      <c r="F37" s="7"/>
      <c r="G37" s="7"/>
      <c r="H37" s="7"/>
      <c r="I37" s="7"/>
      <c r="J37" s="7"/>
    </row>
    <row r="38" spans="2:18" ht="15.75" thickBot="1" x14ac:dyDescent="0.3">
      <c r="B38" s="328" t="s">
        <v>63</v>
      </c>
      <c r="C38" s="329"/>
      <c r="D38" s="362" t="s">
        <v>81</v>
      </c>
      <c r="E38" s="371"/>
      <c r="F38" s="372"/>
      <c r="G38" s="352"/>
      <c r="H38" s="352"/>
      <c r="I38" s="352"/>
      <c r="J38" s="353"/>
    </row>
    <row r="39" spans="2:18" ht="15.75" thickBot="1" x14ac:dyDescent="0.3">
      <c r="B39" s="324" t="s">
        <v>67</v>
      </c>
      <c r="C39" s="325"/>
      <c r="D39" s="365" t="s">
        <v>54</v>
      </c>
      <c r="E39" s="366"/>
      <c r="F39" s="367"/>
      <c r="G39" s="354"/>
      <c r="H39" s="354"/>
      <c r="I39" s="354"/>
      <c r="J39" s="355"/>
    </row>
    <row r="40" spans="2:18" ht="15.75" thickBot="1" x14ac:dyDescent="0.3">
      <c r="B40" s="326" t="s">
        <v>31</v>
      </c>
      <c r="C40" s="327"/>
      <c r="D40" s="368" t="s">
        <v>30</v>
      </c>
      <c r="E40" s="369"/>
      <c r="F40" s="370"/>
      <c r="G40" s="356"/>
      <c r="H40" s="356"/>
      <c r="I40" s="356"/>
      <c r="J40" s="357"/>
      <c r="N40" s="188"/>
      <c r="O40" s="189"/>
    </row>
    <row r="41" spans="2:18" ht="15.75" thickBot="1" x14ac:dyDescent="0.3">
      <c r="B41" s="328" t="s">
        <v>74</v>
      </c>
      <c r="C41" s="329"/>
      <c r="D41" s="362" t="s">
        <v>84</v>
      </c>
      <c r="E41" s="363"/>
      <c r="F41" s="364"/>
      <c r="G41" s="358"/>
      <c r="H41" s="358"/>
      <c r="I41" s="358"/>
      <c r="J41" s="359"/>
    </row>
    <row r="42" spans="2:18" ht="45.75" thickBot="1" x14ac:dyDescent="0.3">
      <c r="B42" s="326" t="s">
        <v>0</v>
      </c>
      <c r="C42" s="325"/>
      <c r="D42" s="167" t="s">
        <v>72</v>
      </c>
      <c r="E42" s="168" t="s">
        <v>73</v>
      </c>
      <c r="F42" s="142" t="s">
        <v>64</v>
      </c>
      <c r="G42" s="168" t="s">
        <v>68</v>
      </c>
      <c r="H42" s="168" t="s">
        <v>69</v>
      </c>
      <c r="I42" s="168" t="s">
        <v>1</v>
      </c>
      <c r="J42" s="169" t="s">
        <v>2</v>
      </c>
      <c r="M42" s="1"/>
    </row>
    <row r="43" spans="2:18" x14ac:dyDescent="0.25">
      <c r="B43" s="38">
        <v>44652</v>
      </c>
      <c r="C43" s="51">
        <v>44683</v>
      </c>
      <c r="D43" s="195">
        <f>D70</f>
        <v>4238823.5294117648</v>
      </c>
      <c r="E43" s="197">
        <f>E70</f>
        <v>16764.705882352941</v>
      </c>
      <c r="F43" s="200">
        <f>D43-E43</f>
        <v>4222058.823529412</v>
      </c>
      <c r="G43" s="79">
        <v>3975000</v>
      </c>
      <c r="H43" s="22">
        <f>((MIN(F43,G43))/1000)</f>
        <v>3975</v>
      </c>
      <c r="I43" s="119">
        <v>0.93679999999999997</v>
      </c>
      <c r="J43" s="36">
        <f t="shared" ref="J43:J58" si="7">H43*I43</f>
        <v>3723.7799999999997</v>
      </c>
      <c r="M43" s="1"/>
      <c r="Q43" s="7"/>
    </row>
    <row r="44" spans="2:18" x14ac:dyDescent="0.25">
      <c r="B44" s="39">
        <v>44683</v>
      </c>
      <c r="C44" s="52">
        <v>44714</v>
      </c>
      <c r="D44" s="82">
        <v>3990000</v>
      </c>
      <c r="E44" s="63">
        <v>15000</v>
      </c>
      <c r="F44" s="81">
        <f t="shared" ref="F44:F51" si="8">D44-E44</f>
        <v>3975000</v>
      </c>
      <c r="G44" s="82">
        <v>3990000</v>
      </c>
      <c r="H44" s="22">
        <f t="shared" ref="H44:H51" si="9">(MIN(F44,G44))/1000</f>
        <v>3975</v>
      </c>
      <c r="I44" s="123">
        <v>0.93679999999999997</v>
      </c>
      <c r="J44" s="32">
        <f t="shared" si="7"/>
        <v>3723.7799999999997</v>
      </c>
      <c r="M44" s="1"/>
    </row>
    <row r="45" spans="2:18" x14ac:dyDescent="0.25">
      <c r="B45" s="39">
        <v>44714</v>
      </c>
      <c r="C45" s="52">
        <v>44746</v>
      </c>
      <c r="D45" s="82">
        <v>4095000</v>
      </c>
      <c r="E45" s="63">
        <v>15000</v>
      </c>
      <c r="F45" s="81">
        <f t="shared" si="8"/>
        <v>4080000</v>
      </c>
      <c r="G45" s="82">
        <v>4080000</v>
      </c>
      <c r="H45" s="22">
        <f t="shared" si="9"/>
        <v>4080</v>
      </c>
      <c r="I45" s="121">
        <v>0.93679999999999997</v>
      </c>
      <c r="J45" s="32">
        <f t="shared" si="7"/>
        <v>3822.1439999999998</v>
      </c>
      <c r="M45" s="1"/>
    </row>
    <row r="46" spans="2:18" x14ac:dyDescent="0.25">
      <c r="B46" s="38">
        <v>44746</v>
      </c>
      <c r="C46" s="51">
        <v>44778</v>
      </c>
      <c r="D46" s="82">
        <v>3240000</v>
      </c>
      <c r="E46" s="63">
        <v>15000</v>
      </c>
      <c r="F46" s="81">
        <f t="shared" si="8"/>
        <v>3225000</v>
      </c>
      <c r="G46" s="82">
        <v>3225000</v>
      </c>
      <c r="H46" s="22">
        <f t="shared" si="9"/>
        <v>3225</v>
      </c>
      <c r="I46" s="121">
        <v>0.93679999999999997</v>
      </c>
      <c r="J46" s="32">
        <f t="shared" si="7"/>
        <v>3021.18</v>
      </c>
      <c r="M46" s="1"/>
    </row>
    <row r="47" spans="2:18" x14ac:dyDescent="0.25">
      <c r="B47" s="39">
        <v>44778</v>
      </c>
      <c r="C47" s="52">
        <v>44809</v>
      </c>
      <c r="D47" s="82">
        <v>3960000</v>
      </c>
      <c r="E47" s="63">
        <v>15000</v>
      </c>
      <c r="F47" s="81">
        <f t="shared" si="8"/>
        <v>3945000</v>
      </c>
      <c r="G47" s="82">
        <v>3945000</v>
      </c>
      <c r="H47" s="22">
        <f t="shared" si="9"/>
        <v>3945</v>
      </c>
      <c r="I47" s="123">
        <v>0.93679999999999997</v>
      </c>
      <c r="J47" s="32">
        <f t="shared" si="7"/>
        <v>3695.6759999999999</v>
      </c>
      <c r="N47" s="1"/>
      <c r="O47" s="306">
        <v>44652</v>
      </c>
      <c r="P47" s="307"/>
      <c r="Q47" s="307"/>
      <c r="R47" s="308"/>
    </row>
    <row r="48" spans="2:18" ht="30" x14ac:dyDescent="0.25">
      <c r="B48" s="39">
        <v>44809</v>
      </c>
      <c r="C48" s="52">
        <v>44835</v>
      </c>
      <c r="D48" s="82">
        <v>2805000</v>
      </c>
      <c r="E48" s="80">
        <v>15000</v>
      </c>
      <c r="F48" s="81">
        <f t="shared" si="8"/>
        <v>2790000</v>
      </c>
      <c r="G48" s="82">
        <v>2790000</v>
      </c>
      <c r="H48" s="22">
        <f t="shared" si="9"/>
        <v>2790</v>
      </c>
      <c r="I48" s="121">
        <v>0.93679999999999997</v>
      </c>
      <c r="J48" s="32">
        <f t="shared" si="7"/>
        <v>2613.672</v>
      </c>
      <c r="N48" s="1"/>
      <c r="O48" s="3"/>
      <c r="P48" s="3"/>
      <c r="Q48" s="253" t="s">
        <v>138</v>
      </c>
      <c r="R48" s="253" t="s">
        <v>137</v>
      </c>
    </row>
    <row r="49" spans="2:18" x14ac:dyDescent="0.25">
      <c r="B49" s="38">
        <v>44835</v>
      </c>
      <c r="C49" s="51">
        <v>44866</v>
      </c>
      <c r="D49" s="82">
        <v>3255000</v>
      </c>
      <c r="E49" s="63">
        <v>30000</v>
      </c>
      <c r="F49" s="81">
        <f t="shared" si="8"/>
        <v>3225000</v>
      </c>
      <c r="G49" s="82">
        <v>3255000</v>
      </c>
      <c r="H49" s="22">
        <f t="shared" si="9"/>
        <v>3225</v>
      </c>
      <c r="I49" s="121">
        <v>0.93679999999999997</v>
      </c>
      <c r="J49" s="32">
        <f t="shared" si="7"/>
        <v>3021.18</v>
      </c>
      <c r="N49" s="1"/>
      <c r="O49" s="3" t="s">
        <v>127</v>
      </c>
      <c r="P49" s="30">
        <v>4665000</v>
      </c>
      <c r="Q49" s="96">
        <f>P49/P51</f>
        <v>137205.88235294117</v>
      </c>
      <c r="R49" s="96">
        <f>Q49*P52</f>
        <v>548823.5294117647</v>
      </c>
    </row>
    <row r="50" spans="2:18" x14ac:dyDescent="0.25">
      <c r="B50" s="39">
        <v>44866</v>
      </c>
      <c r="C50" s="52">
        <v>44900</v>
      </c>
      <c r="D50" s="82">
        <v>2550000</v>
      </c>
      <c r="E50" s="63">
        <v>15000</v>
      </c>
      <c r="F50" s="81">
        <f t="shared" si="8"/>
        <v>2535000</v>
      </c>
      <c r="G50" s="82">
        <v>2535000</v>
      </c>
      <c r="H50" s="22">
        <f t="shared" si="9"/>
        <v>2535</v>
      </c>
      <c r="I50" s="123">
        <v>0.93679999999999997</v>
      </c>
      <c r="J50" s="32">
        <f t="shared" si="7"/>
        <v>2374.788</v>
      </c>
      <c r="N50" s="1"/>
      <c r="O50" s="3" t="s">
        <v>128</v>
      </c>
      <c r="P50" s="3">
        <v>15000</v>
      </c>
      <c r="Q50" s="96">
        <f>P50/P51</f>
        <v>441.1764705882353</v>
      </c>
      <c r="R50" s="96">
        <f>Q50*P52</f>
        <v>1764.7058823529412</v>
      </c>
    </row>
    <row r="51" spans="2:18" ht="15.75" thickBot="1" x14ac:dyDescent="0.3">
      <c r="B51" s="40">
        <f>C50</f>
        <v>44900</v>
      </c>
      <c r="C51" s="53">
        <v>44931</v>
      </c>
      <c r="D51" s="83">
        <v>1980000</v>
      </c>
      <c r="E51" s="245">
        <v>15000</v>
      </c>
      <c r="F51" s="249">
        <f t="shared" si="8"/>
        <v>1965000</v>
      </c>
      <c r="G51" s="63">
        <v>1965000</v>
      </c>
      <c r="H51" s="21">
        <f t="shared" si="9"/>
        <v>1965</v>
      </c>
      <c r="I51" s="121">
        <v>0.93679999999999997</v>
      </c>
      <c r="J51" s="225">
        <f t="shared" si="7"/>
        <v>1840.8119999999999</v>
      </c>
      <c r="N51" s="1"/>
      <c r="O51" s="3" t="s">
        <v>129</v>
      </c>
      <c r="P51" s="3">
        <f>C68-B68</f>
        <v>34</v>
      </c>
      <c r="Q51" s="3"/>
      <c r="R51" s="3"/>
    </row>
    <row r="52" spans="2:18" ht="15.75" thickBot="1" x14ac:dyDescent="0.3">
      <c r="B52" s="360" t="s">
        <v>70</v>
      </c>
      <c r="C52" s="361"/>
      <c r="D52" s="241">
        <f>SUM(D43:D51)</f>
        <v>30113823.529411763</v>
      </c>
      <c r="E52" s="152">
        <f>SUM(E43:E51)</f>
        <v>151764.70588235295</v>
      </c>
      <c r="F52" s="246">
        <f>SUM(F43:F51)</f>
        <v>29962058.823529411</v>
      </c>
      <c r="G52" s="152">
        <f>SUM(G43:G51)</f>
        <v>29760000</v>
      </c>
      <c r="H52" s="152">
        <f>SUM(H43:H51)</f>
        <v>29715</v>
      </c>
      <c r="I52" s="247">
        <v>0.93679999999999997</v>
      </c>
      <c r="J52" s="248">
        <f>ROUNDDOWN(H52*I52,0)</f>
        <v>27837</v>
      </c>
      <c r="N52" s="1"/>
      <c r="O52" s="3" t="s">
        <v>130</v>
      </c>
      <c r="P52" s="3">
        <f>B69-B70</f>
        <v>4</v>
      </c>
      <c r="Q52" s="3"/>
      <c r="R52" s="3"/>
    </row>
    <row r="53" spans="2:18" x14ac:dyDescent="0.25">
      <c r="B53" s="38">
        <f>C51</f>
        <v>44931</v>
      </c>
      <c r="C53" s="51">
        <v>44959</v>
      </c>
      <c r="D53" s="79">
        <v>1860000</v>
      </c>
      <c r="E53" s="80">
        <v>30000</v>
      </c>
      <c r="F53" s="81">
        <f>D53-E53</f>
        <v>1830000</v>
      </c>
      <c r="G53" s="79">
        <v>1830000</v>
      </c>
      <c r="H53" s="22">
        <f>(MIN(F53,G53))/1000</f>
        <v>1830</v>
      </c>
      <c r="I53" s="119">
        <v>0.93679999999999997</v>
      </c>
      <c r="J53" s="36">
        <f t="shared" si="7"/>
        <v>1714.3440000000001</v>
      </c>
      <c r="N53" s="1"/>
    </row>
    <row r="54" spans="2:18" x14ac:dyDescent="0.25">
      <c r="B54" s="39">
        <f>C53</f>
        <v>44959</v>
      </c>
      <c r="C54" s="52">
        <v>44988</v>
      </c>
      <c r="D54" s="82">
        <v>3300000</v>
      </c>
      <c r="E54" s="63">
        <v>15000</v>
      </c>
      <c r="F54" s="81">
        <f t="shared" ref="F54:F58" si="10">D54-E54</f>
        <v>3285000</v>
      </c>
      <c r="G54" s="82">
        <v>3285000</v>
      </c>
      <c r="H54" s="22">
        <f t="shared" ref="H54:H57" si="11">(MIN(F54,G54))/1000</f>
        <v>3285</v>
      </c>
      <c r="I54" s="121">
        <v>0.93679999999999997</v>
      </c>
      <c r="J54" s="32">
        <f t="shared" si="7"/>
        <v>3077.3879999999999</v>
      </c>
    </row>
    <row r="55" spans="2:18" x14ac:dyDescent="0.25">
      <c r="B55" s="39">
        <f>C54</f>
        <v>44988</v>
      </c>
      <c r="C55" s="52">
        <v>45019</v>
      </c>
      <c r="D55" s="82">
        <v>3915000</v>
      </c>
      <c r="E55" s="63">
        <v>15000</v>
      </c>
      <c r="F55" s="81">
        <f t="shared" si="10"/>
        <v>3900000</v>
      </c>
      <c r="G55" s="82">
        <v>3900000</v>
      </c>
      <c r="H55" s="22">
        <f t="shared" si="11"/>
        <v>3900</v>
      </c>
      <c r="I55" s="121">
        <v>0.93679999999999997</v>
      </c>
      <c r="J55" s="32">
        <f t="shared" si="7"/>
        <v>3653.52</v>
      </c>
      <c r="L55" s="7"/>
    </row>
    <row r="56" spans="2:18" x14ac:dyDescent="0.25">
      <c r="B56" s="38">
        <f>C55</f>
        <v>45019</v>
      </c>
      <c r="C56" s="51">
        <v>45050</v>
      </c>
      <c r="D56" s="82">
        <v>4200000</v>
      </c>
      <c r="E56" s="63">
        <v>15000</v>
      </c>
      <c r="F56" s="81">
        <f t="shared" si="10"/>
        <v>4185000</v>
      </c>
      <c r="G56" s="82">
        <v>4185000</v>
      </c>
      <c r="H56" s="22">
        <f t="shared" si="11"/>
        <v>4185</v>
      </c>
      <c r="I56" s="121">
        <v>0.93679999999999997</v>
      </c>
      <c r="J56" s="32">
        <f t="shared" si="7"/>
        <v>3920.5079999999998</v>
      </c>
      <c r="L56" s="7"/>
    </row>
    <row r="57" spans="2:18" x14ac:dyDescent="0.25">
      <c r="B57" s="39">
        <f>C56</f>
        <v>45050</v>
      </c>
      <c r="C57" s="52">
        <v>45082</v>
      </c>
      <c r="D57" s="82">
        <v>4605000</v>
      </c>
      <c r="E57" s="63">
        <v>15000</v>
      </c>
      <c r="F57" s="81">
        <f t="shared" si="10"/>
        <v>4590000</v>
      </c>
      <c r="G57" s="82">
        <v>4590000</v>
      </c>
      <c r="H57" s="22">
        <f t="shared" si="11"/>
        <v>4590</v>
      </c>
      <c r="I57" s="121">
        <v>0.93679999999999997</v>
      </c>
      <c r="J57" s="32">
        <f t="shared" si="7"/>
        <v>4299.9120000000003</v>
      </c>
    </row>
    <row r="58" spans="2:18" ht="15.75" thickBot="1" x14ac:dyDescent="0.3">
      <c r="B58" s="40">
        <v>45082</v>
      </c>
      <c r="C58" s="53">
        <v>45107</v>
      </c>
      <c r="D58" s="254">
        <f>D66</f>
        <v>3455357.1428571427</v>
      </c>
      <c r="E58" s="197">
        <f>E66</f>
        <v>13392.857142857141</v>
      </c>
      <c r="F58" s="200">
        <f t="shared" si="10"/>
        <v>3441964.2857142854</v>
      </c>
      <c r="G58" s="259">
        <v>3855000</v>
      </c>
      <c r="H58" s="263">
        <f>((MIN(F58,G58))/1000)*30/28</f>
        <v>3687.8188775510203</v>
      </c>
      <c r="I58" s="122">
        <v>0.93679999999999997</v>
      </c>
      <c r="J58" s="42">
        <f t="shared" si="7"/>
        <v>3454.7487244897957</v>
      </c>
    </row>
    <row r="59" spans="2:18" ht="15.75" thickBot="1" x14ac:dyDescent="0.3">
      <c r="B59" s="330" t="s">
        <v>71</v>
      </c>
      <c r="C59" s="331"/>
      <c r="D59" s="84">
        <f>SUM(D53:D58)</f>
        <v>21335357.142857142</v>
      </c>
      <c r="E59" s="62">
        <f>SUM(E53:E58)</f>
        <v>103392.85714285714</v>
      </c>
      <c r="F59" s="85">
        <f>SUM(F53:F58)</f>
        <v>21231964.285714284</v>
      </c>
      <c r="G59" s="62">
        <f>SUM(G53:G58)</f>
        <v>21645000</v>
      </c>
      <c r="H59" s="62">
        <f>SUM(H53:H58)</f>
        <v>21477.818877551021</v>
      </c>
      <c r="I59" s="120">
        <v>0.93679999999999997</v>
      </c>
      <c r="J59" s="55">
        <f>ROUNDDOWN(H59*I59,0)</f>
        <v>20120</v>
      </c>
    </row>
    <row r="60" spans="2:18" ht="15.75" thickBot="1" x14ac:dyDescent="0.3">
      <c r="B60" s="345" t="s">
        <v>3</v>
      </c>
      <c r="C60" s="346"/>
      <c r="D60" s="89">
        <f>D59+D52</f>
        <v>51449180.672268905</v>
      </c>
      <c r="E60" s="90">
        <f>E52+E59</f>
        <v>255157.56302521011</v>
      </c>
      <c r="F60" s="91">
        <f>F59+F52</f>
        <v>51194023.109243691</v>
      </c>
      <c r="G60" s="58">
        <f>G59+G52</f>
        <v>51405000</v>
      </c>
      <c r="H60" s="58">
        <f>SUM(H52+H59)</f>
        <v>51192.818877551021</v>
      </c>
      <c r="I60" s="59">
        <v>0.93679999999999997</v>
      </c>
      <c r="J60" s="60">
        <f>ROUNDDOWN(SUM(J52+J59),0)</f>
        <v>47957</v>
      </c>
    </row>
    <row r="61" spans="2:18" x14ac:dyDescent="0.25">
      <c r="C61" s="25"/>
    </row>
    <row r="62" spans="2:18" ht="15.75" thickBot="1" x14ac:dyDescent="0.3"/>
    <row r="63" spans="2:18" ht="15.75" thickBot="1" x14ac:dyDescent="0.3">
      <c r="B63" s="140"/>
      <c r="C63" s="163"/>
      <c r="D63" s="3"/>
      <c r="E63" s="3"/>
      <c r="F63" s="63"/>
      <c r="G63" s="3"/>
    </row>
    <row r="65" spans="2:19" x14ac:dyDescent="0.25">
      <c r="B65" s="226">
        <v>45082</v>
      </c>
      <c r="C65" s="227">
        <v>45110</v>
      </c>
      <c r="D65" s="188">
        <v>3870000</v>
      </c>
      <c r="E65" s="189">
        <v>15000</v>
      </c>
      <c r="O65" s="306">
        <v>45078</v>
      </c>
      <c r="P65" s="307"/>
      <c r="Q65" s="307"/>
      <c r="R65" s="307"/>
      <c r="S65" s="308"/>
    </row>
    <row r="66" spans="2:19" ht="30" x14ac:dyDescent="0.25">
      <c r="B66" s="226">
        <v>45082</v>
      </c>
      <c r="C66" s="227">
        <v>45107</v>
      </c>
      <c r="D66" s="79">
        <f>R67</f>
        <v>3455357.1428571427</v>
      </c>
      <c r="E66" s="80">
        <f>R68</f>
        <v>13392.857142857141</v>
      </c>
      <c r="O66" s="3"/>
      <c r="P66" s="3"/>
      <c r="Q66" s="253" t="s">
        <v>138</v>
      </c>
      <c r="R66" s="253" t="s">
        <v>137</v>
      </c>
      <c r="S66" s="3"/>
    </row>
    <row r="67" spans="2:19" x14ac:dyDescent="0.25">
      <c r="O67" s="3" t="s">
        <v>127</v>
      </c>
      <c r="P67" s="30">
        <v>3870000</v>
      </c>
      <c r="Q67" s="96">
        <f>P67/P69</f>
        <v>138214.28571428571</v>
      </c>
      <c r="R67" s="96">
        <f>Q67*P70</f>
        <v>3455357.1428571427</v>
      </c>
      <c r="S67" s="3"/>
    </row>
    <row r="68" spans="2:19" x14ac:dyDescent="0.25">
      <c r="B68" s="201">
        <v>44622</v>
      </c>
      <c r="C68" s="201">
        <v>44656</v>
      </c>
      <c r="D68" s="188">
        <v>4665000</v>
      </c>
      <c r="E68" s="189">
        <v>15000</v>
      </c>
      <c r="O68" s="3" t="s">
        <v>128</v>
      </c>
      <c r="P68" s="3">
        <v>15000</v>
      </c>
      <c r="Q68" s="96">
        <f>P68/P69</f>
        <v>535.71428571428567</v>
      </c>
      <c r="R68" s="96">
        <f>Q68*P70</f>
        <v>13392.857142857141</v>
      </c>
      <c r="S68" s="3"/>
    </row>
    <row r="69" spans="2:19" x14ac:dyDescent="0.25">
      <c r="B69" s="201">
        <v>44656</v>
      </c>
      <c r="C69" s="201">
        <v>44683</v>
      </c>
      <c r="D69" s="79">
        <v>3690000</v>
      </c>
      <c r="E69" s="80">
        <v>15000</v>
      </c>
      <c r="O69" s="3" t="s">
        <v>129</v>
      </c>
      <c r="P69" s="3">
        <f>C65-B65</f>
        <v>28</v>
      </c>
      <c r="Q69" s="3"/>
      <c r="R69" s="3"/>
      <c r="S69" s="3"/>
    </row>
    <row r="70" spans="2:19" x14ac:dyDescent="0.25">
      <c r="B70" s="201">
        <v>44652</v>
      </c>
      <c r="C70" s="201">
        <v>44683</v>
      </c>
      <c r="D70" s="202">
        <f>D69+R49</f>
        <v>4238823.5294117648</v>
      </c>
      <c r="E70" s="202">
        <f>E69+R50</f>
        <v>16764.705882352941</v>
      </c>
      <c r="O70" s="3" t="s">
        <v>130</v>
      </c>
      <c r="P70" s="3">
        <f>C66-B66</f>
        <v>25</v>
      </c>
      <c r="Q70" s="3"/>
      <c r="R70" s="3"/>
      <c r="S70" s="3"/>
    </row>
  </sheetData>
  <mergeCells count="35">
    <mergeCell ref="B10:C10"/>
    <mergeCell ref="B20:C20"/>
    <mergeCell ref="B9:C9"/>
    <mergeCell ref="D9:F9"/>
    <mergeCell ref="B2:F2"/>
    <mergeCell ref="B3:F3"/>
    <mergeCell ref="B4:F4"/>
    <mergeCell ref="B59:C59"/>
    <mergeCell ref="B60:C60"/>
    <mergeCell ref="B38:C38"/>
    <mergeCell ref="B39:C39"/>
    <mergeCell ref="B40:C40"/>
    <mergeCell ref="B41:C41"/>
    <mergeCell ref="B42:C42"/>
    <mergeCell ref="G6:J8"/>
    <mergeCell ref="G38:J40"/>
    <mergeCell ref="G41:J41"/>
    <mergeCell ref="B52:C52"/>
    <mergeCell ref="D41:F41"/>
    <mergeCell ref="B7:C7"/>
    <mergeCell ref="D7:F7"/>
    <mergeCell ref="D39:F39"/>
    <mergeCell ref="B8:C8"/>
    <mergeCell ref="D8:F8"/>
    <mergeCell ref="D40:F40"/>
    <mergeCell ref="B6:C6"/>
    <mergeCell ref="D6:F6"/>
    <mergeCell ref="D38:F38"/>
    <mergeCell ref="B28:C28"/>
    <mergeCell ref="B27:C27"/>
    <mergeCell ref="O65:S65"/>
    <mergeCell ref="O47:R47"/>
    <mergeCell ref="M30:Q30"/>
    <mergeCell ref="M12:Q12"/>
    <mergeCell ref="G9:J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B1:R238"/>
  <sheetViews>
    <sheetView zoomScaleNormal="100" workbookViewId="0">
      <selection activeCell="H160" sqref="H160"/>
    </sheetView>
  </sheetViews>
  <sheetFormatPr defaultColWidth="9.140625" defaultRowHeight="15" x14ac:dyDescent="0.25"/>
  <cols>
    <col min="1" max="1" width="9.140625" style="24"/>
    <col min="2" max="2" width="12" style="1" customWidth="1"/>
    <col min="3" max="4" width="10.28515625" style="24" bestFit="1" customWidth="1"/>
    <col min="5" max="5" width="9.85546875" style="24" bestFit="1" customWidth="1"/>
    <col min="6" max="6" width="11.140625" style="24" customWidth="1"/>
    <col min="7" max="7" width="13.7109375" style="24" bestFit="1" customWidth="1"/>
    <col min="8" max="8" width="28.5703125" style="24" bestFit="1" customWidth="1"/>
    <col min="9" max="9" width="20.140625" style="24" bestFit="1" customWidth="1"/>
    <col min="10" max="10" width="14.85546875" style="24" bestFit="1" customWidth="1"/>
    <col min="11" max="11" width="10.85546875" style="24" bestFit="1" customWidth="1"/>
    <col min="12" max="12" width="19" style="24" customWidth="1"/>
    <col min="13" max="13" width="11.28515625" style="24" bestFit="1" customWidth="1"/>
    <col min="14" max="14" width="30.7109375" style="24" customWidth="1"/>
    <col min="15" max="15" width="33.7109375" style="24" customWidth="1"/>
    <col min="16" max="16" width="14.140625" style="24" bestFit="1" customWidth="1"/>
    <col min="17" max="17" width="11.7109375" style="24" customWidth="1"/>
    <col min="18" max="18" width="15.28515625" style="24" customWidth="1"/>
    <col min="19" max="16384" width="9.140625" style="24"/>
  </cols>
  <sheetData>
    <row r="1" spans="3:14" ht="15.75" thickBot="1" x14ac:dyDescent="0.3">
      <c r="F1" s="25"/>
    </row>
    <row r="2" spans="3:14" x14ac:dyDescent="0.25">
      <c r="C2" s="315" t="s">
        <v>57</v>
      </c>
      <c r="D2" s="316"/>
      <c r="E2" s="316"/>
      <c r="F2" s="316"/>
      <c r="G2" s="317"/>
      <c r="H2" s="27">
        <f>8+8+15+15+11+15+15</f>
        <v>87</v>
      </c>
    </row>
    <row r="3" spans="3:14" x14ac:dyDescent="0.25">
      <c r="C3" s="321" t="s">
        <v>58</v>
      </c>
      <c r="D3" s="322"/>
      <c r="E3" s="322"/>
      <c r="F3" s="322"/>
      <c r="G3" s="323"/>
      <c r="H3" s="28">
        <f>I28+I61+I95+I132+I165+I198+I228</f>
        <v>183426.64180376343</v>
      </c>
    </row>
    <row r="4" spans="3:14" ht="15.75" thickBot="1" x14ac:dyDescent="0.3">
      <c r="C4" s="318" t="s">
        <v>59</v>
      </c>
      <c r="D4" s="319"/>
      <c r="E4" s="319"/>
      <c r="F4" s="319"/>
      <c r="G4" s="320"/>
      <c r="H4" s="29">
        <f>K28+K61+K95+K132+K165+K198+K228</f>
        <v>171827</v>
      </c>
    </row>
    <row r="5" spans="3:14" ht="15.75" thickBot="1" x14ac:dyDescent="0.3"/>
    <row r="6" spans="3:14" ht="15.75" customHeight="1" thickBot="1" x14ac:dyDescent="0.3">
      <c r="C6" s="324" t="s">
        <v>67</v>
      </c>
      <c r="D6" s="325"/>
      <c r="E6" s="324" t="s">
        <v>33</v>
      </c>
      <c r="F6" s="335"/>
      <c r="G6" s="336"/>
      <c r="H6" s="377" t="s">
        <v>86</v>
      </c>
      <c r="I6" s="378"/>
      <c r="J6" s="378"/>
      <c r="K6" s="379"/>
    </row>
    <row r="7" spans="3:14" ht="15.75" customHeight="1" thickBot="1" x14ac:dyDescent="0.3">
      <c r="C7" s="326" t="s">
        <v>31</v>
      </c>
      <c r="D7" s="327"/>
      <c r="E7" s="332" t="s">
        <v>32</v>
      </c>
      <c r="F7" s="342"/>
      <c r="G7" s="343"/>
      <c r="H7" s="380"/>
      <c r="I7" s="381"/>
      <c r="J7" s="381"/>
      <c r="K7" s="382"/>
    </row>
    <row r="8" spans="3:14" ht="15.75" thickBot="1" x14ac:dyDescent="0.3">
      <c r="C8" s="328" t="s">
        <v>74</v>
      </c>
      <c r="D8" s="329"/>
      <c r="E8" s="337" t="s">
        <v>87</v>
      </c>
      <c r="F8" s="338"/>
      <c r="G8" s="339"/>
      <c r="H8" s="64"/>
      <c r="I8" s="64"/>
      <c r="J8" s="64"/>
      <c r="K8" s="65"/>
    </row>
    <row r="9" spans="3:14" ht="30.75" thickBot="1" x14ac:dyDescent="0.3">
      <c r="C9" s="326" t="s">
        <v>0</v>
      </c>
      <c r="D9" s="327"/>
      <c r="E9" s="43" t="s">
        <v>72</v>
      </c>
      <c r="F9" s="44" t="s">
        <v>73</v>
      </c>
      <c r="G9" s="61" t="s">
        <v>64</v>
      </c>
      <c r="H9" s="44" t="s">
        <v>100</v>
      </c>
      <c r="I9" s="44" t="s">
        <v>69</v>
      </c>
      <c r="J9" s="44" t="s">
        <v>1</v>
      </c>
      <c r="K9" s="45" t="s">
        <v>2</v>
      </c>
    </row>
    <row r="10" spans="3:14" x14ac:dyDescent="0.25">
      <c r="C10" s="38">
        <v>44652</v>
      </c>
      <c r="D10" s="51">
        <v>44669</v>
      </c>
      <c r="E10" s="195">
        <f>E31</f>
        <v>762270.96774193551</v>
      </c>
      <c r="F10" s="197">
        <f>F31</f>
        <v>2961.2903225806454</v>
      </c>
      <c r="G10" s="200">
        <f>E10-F10</f>
        <v>759309.67741935491</v>
      </c>
      <c r="H10" s="22">
        <v>1307700</v>
      </c>
      <c r="I10" s="22">
        <f>((MIN(G10,H10))/1000)</f>
        <v>759.3096774193549</v>
      </c>
      <c r="J10" s="35">
        <v>0.93679999999999997</v>
      </c>
      <c r="K10" s="36">
        <f>I10*J10</f>
        <v>711.32130580645162</v>
      </c>
      <c r="L10" s="7"/>
    </row>
    <row r="11" spans="3:14" x14ac:dyDescent="0.25">
      <c r="C11" s="39">
        <v>44669</v>
      </c>
      <c r="D11" s="52">
        <v>44699</v>
      </c>
      <c r="E11" s="46">
        <v>1215200</v>
      </c>
      <c r="F11" s="30">
        <v>4900</v>
      </c>
      <c r="G11" s="15">
        <f t="shared" ref="G11:G18" si="0">E11-F11</f>
        <v>1210300</v>
      </c>
      <c r="H11" s="21">
        <v>1210300</v>
      </c>
      <c r="I11" s="22">
        <f t="shared" ref="I11:I18" si="1">(MIN(G11,H11))/1000</f>
        <v>1210.3</v>
      </c>
      <c r="J11" s="34">
        <v>0.93679999999999997</v>
      </c>
      <c r="K11" s="32">
        <f t="shared" ref="K11:K18" si="2">I11*J11</f>
        <v>1133.8090399999999</v>
      </c>
      <c r="L11" s="7"/>
      <c r="M11" s="24">
        <v>2022</v>
      </c>
      <c r="N11" s="7">
        <f>K19+K52+K86+K123+K156+K189+K219</f>
        <v>91337</v>
      </c>
    </row>
    <row r="12" spans="3:14" x14ac:dyDescent="0.25">
      <c r="C12" s="38">
        <v>44699</v>
      </c>
      <c r="D12" s="51">
        <v>44730</v>
      </c>
      <c r="E12" s="46">
        <v>1446300</v>
      </c>
      <c r="F12" s="30">
        <v>5400</v>
      </c>
      <c r="G12" s="15">
        <f t="shared" si="0"/>
        <v>1440900</v>
      </c>
      <c r="H12" s="21">
        <v>1440900</v>
      </c>
      <c r="I12" s="22">
        <f t="shared" si="1"/>
        <v>1440.9</v>
      </c>
      <c r="J12" s="31">
        <v>0.93679999999999997</v>
      </c>
      <c r="K12" s="32">
        <f t="shared" si="2"/>
        <v>1349.83512</v>
      </c>
      <c r="L12" s="7"/>
      <c r="M12" s="24">
        <v>2023</v>
      </c>
      <c r="N12" s="7">
        <f>K27+K60+K94+K131+K164+K197+K227</f>
        <v>80490</v>
      </c>
    </row>
    <row r="13" spans="3:14" x14ac:dyDescent="0.25">
      <c r="C13" s="39">
        <v>44730</v>
      </c>
      <c r="D13" s="52">
        <v>44760</v>
      </c>
      <c r="E13" s="46">
        <v>868500</v>
      </c>
      <c r="F13" s="30">
        <v>4900</v>
      </c>
      <c r="G13" s="15">
        <f t="shared" si="0"/>
        <v>863600</v>
      </c>
      <c r="H13" s="21">
        <v>863600</v>
      </c>
      <c r="I13" s="22">
        <f t="shared" si="1"/>
        <v>863.6</v>
      </c>
      <c r="J13" s="31">
        <v>0.93679999999999997</v>
      </c>
      <c r="K13" s="32">
        <f t="shared" si="2"/>
        <v>809.02048000000002</v>
      </c>
      <c r="L13" s="7"/>
      <c r="N13" s="170"/>
    </row>
    <row r="14" spans="3:14" x14ac:dyDescent="0.25">
      <c r="C14" s="38">
        <v>44760</v>
      </c>
      <c r="D14" s="51">
        <v>44791</v>
      </c>
      <c r="E14" s="46">
        <v>875800</v>
      </c>
      <c r="F14" s="30">
        <v>6000</v>
      </c>
      <c r="G14" s="15">
        <f t="shared" si="0"/>
        <v>869800</v>
      </c>
      <c r="H14" s="21">
        <v>869848</v>
      </c>
      <c r="I14" s="22">
        <f t="shared" si="1"/>
        <v>869.8</v>
      </c>
      <c r="J14" s="34">
        <v>0.93679999999999997</v>
      </c>
      <c r="K14" s="32">
        <f t="shared" si="2"/>
        <v>814.82863999999995</v>
      </c>
      <c r="L14" s="7"/>
      <c r="M14" s="24">
        <v>2022</v>
      </c>
      <c r="N14" s="7">
        <f>I19+I52+I86+I123+I156+I189+I219</f>
        <v>97503.423137096775</v>
      </c>
    </row>
    <row r="15" spans="3:14" x14ac:dyDescent="0.25">
      <c r="C15" s="39">
        <v>44791</v>
      </c>
      <c r="D15" s="52">
        <v>44822</v>
      </c>
      <c r="E15" s="46">
        <v>1122500</v>
      </c>
      <c r="F15" s="14">
        <v>6100</v>
      </c>
      <c r="G15" s="15">
        <f t="shared" si="0"/>
        <v>1116400</v>
      </c>
      <c r="H15" s="225">
        <v>1116548</v>
      </c>
      <c r="I15" s="22">
        <f t="shared" si="1"/>
        <v>1116.4000000000001</v>
      </c>
      <c r="J15" s="31">
        <v>0.93679999999999997</v>
      </c>
      <c r="K15" s="32">
        <f t="shared" si="2"/>
        <v>1045.8435200000001</v>
      </c>
      <c r="L15" s="7"/>
      <c r="M15" s="24">
        <v>2023</v>
      </c>
      <c r="N15" s="7">
        <f>I27+I60+I94+I131+I164+I197+I227</f>
        <v>85923.218666666668</v>
      </c>
    </row>
    <row r="16" spans="3:14" x14ac:dyDescent="0.25">
      <c r="C16" s="38">
        <v>44822</v>
      </c>
      <c r="D16" s="51">
        <v>44852</v>
      </c>
      <c r="E16" s="46">
        <v>914500</v>
      </c>
      <c r="F16" s="30">
        <v>6300</v>
      </c>
      <c r="G16" s="15">
        <f t="shared" si="0"/>
        <v>908200</v>
      </c>
      <c r="H16" s="225">
        <v>908740</v>
      </c>
      <c r="I16" s="22">
        <f t="shared" si="1"/>
        <v>908.2</v>
      </c>
      <c r="J16" s="31">
        <v>0.93679999999999997</v>
      </c>
      <c r="K16" s="32">
        <f t="shared" si="2"/>
        <v>850.80176000000006</v>
      </c>
      <c r="L16" s="7"/>
    </row>
    <row r="17" spans="3:18" x14ac:dyDescent="0.25">
      <c r="C17" s="39">
        <v>44852</v>
      </c>
      <c r="D17" s="52">
        <v>44883</v>
      </c>
      <c r="E17" s="46">
        <v>1279200</v>
      </c>
      <c r="F17" s="30">
        <v>6200</v>
      </c>
      <c r="G17" s="15">
        <f t="shared" si="0"/>
        <v>1273000</v>
      </c>
      <c r="H17" s="225">
        <v>1273248</v>
      </c>
      <c r="I17" s="22">
        <f t="shared" si="1"/>
        <v>1273</v>
      </c>
      <c r="J17" s="34">
        <v>0.93679999999999997</v>
      </c>
      <c r="K17" s="32">
        <f t="shared" si="2"/>
        <v>1192.5463999999999</v>
      </c>
      <c r="L17" s="7"/>
      <c r="N17" s="1"/>
    </row>
    <row r="18" spans="3:18" ht="15.75" thickBot="1" x14ac:dyDescent="0.3">
      <c r="C18" s="38">
        <v>44883</v>
      </c>
      <c r="D18" s="51">
        <v>44913</v>
      </c>
      <c r="E18" s="47">
        <v>964700</v>
      </c>
      <c r="F18" s="30">
        <v>6300</v>
      </c>
      <c r="G18" s="15">
        <f t="shared" si="0"/>
        <v>958400</v>
      </c>
      <c r="H18" s="33">
        <v>958940</v>
      </c>
      <c r="I18" s="22">
        <f t="shared" si="1"/>
        <v>958.4</v>
      </c>
      <c r="J18" s="41">
        <v>0.93679999999999997</v>
      </c>
      <c r="K18" s="42">
        <f t="shared" si="2"/>
        <v>897.82911999999999</v>
      </c>
      <c r="L18" s="7"/>
      <c r="N18" s="1"/>
      <c r="O18" s="3"/>
      <c r="P18" s="3"/>
      <c r="Q18" s="3"/>
      <c r="R18" s="3"/>
    </row>
    <row r="19" spans="3:18" ht="15.75" thickBot="1" x14ac:dyDescent="0.3">
      <c r="C19" s="383" t="s">
        <v>70</v>
      </c>
      <c r="D19" s="384"/>
      <c r="E19" s="48">
        <f>SUM(E10:E18)</f>
        <v>9448970.9677419364</v>
      </c>
      <c r="F19" s="62">
        <f t="shared" ref="F19:I19" si="3">SUM(F10:F18)</f>
        <v>49061.290322580644</v>
      </c>
      <c r="G19" s="85">
        <f>SUM(G10:G18)</f>
        <v>9399909.6774193551</v>
      </c>
      <c r="H19" s="49">
        <f t="shared" si="3"/>
        <v>9949824</v>
      </c>
      <c r="I19" s="62">
        <f t="shared" si="3"/>
        <v>9399.9096774193549</v>
      </c>
      <c r="J19" s="54">
        <v>0.93679999999999997</v>
      </c>
      <c r="K19" s="55">
        <f>ROUNDDOWN(I19*J19,0)</f>
        <v>8805</v>
      </c>
      <c r="N19" s="1"/>
      <c r="O19" s="3"/>
      <c r="P19" s="3"/>
      <c r="Q19" s="3" t="s">
        <v>131</v>
      </c>
      <c r="R19" s="3" t="s">
        <v>134</v>
      </c>
    </row>
    <row r="20" spans="3:18" x14ac:dyDescent="0.25">
      <c r="C20" s="69">
        <v>44913</v>
      </c>
      <c r="D20" s="70">
        <v>44944</v>
      </c>
      <c r="E20" s="143">
        <v>1182900</v>
      </c>
      <c r="F20" s="14">
        <v>6400</v>
      </c>
      <c r="G20" s="15">
        <f>E20-F20</f>
        <v>1176500</v>
      </c>
      <c r="H20" s="22">
        <v>1176948</v>
      </c>
      <c r="I20" s="22">
        <f>(MIN(G20,H20))/1000</f>
        <v>1176.5</v>
      </c>
      <c r="J20" s="35">
        <v>0.93679999999999997</v>
      </c>
      <c r="K20" s="36">
        <f>I20*J20</f>
        <v>1102.1451999999999</v>
      </c>
      <c r="L20" s="7"/>
      <c r="N20" s="1"/>
      <c r="O20" s="3" t="s">
        <v>127</v>
      </c>
      <c r="P20" s="30">
        <v>1312800</v>
      </c>
      <c r="Q20" s="96">
        <f>P20/P22</f>
        <v>42348.387096774197</v>
      </c>
      <c r="R20" s="96">
        <f>Q20*P23</f>
        <v>762270.96774193551</v>
      </c>
    </row>
    <row r="21" spans="3:18" x14ac:dyDescent="0.25">
      <c r="C21" s="39">
        <v>44944</v>
      </c>
      <c r="D21" s="165">
        <v>44975</v>
      </c>
      <c r="E21" s="67">
        <v>1325300</v>
      </c>
      <c r="F21" s="30">
        <v>6100</v>
      </c>
      <c r="G21" s="15">
        <f t="shared" ref="G21:G25" si="4">E21-F21</f>
        <v>1319200</v>
      </c>
      <c r="H21" s="21">
        <v>1319348</v>
      </c>
      <c r="I21" s="22">
        <f t="shared" ref="I21:I26" si="5">(MIN(G21,H21))/1000</f>
        <v>1319.2</v>
      </c>
      <c r="J21" s="31">
        <v>0.93679999999999997</v>
      </c>
      <c r="K21" s="32">
        <f t="shared" ref="K21:K26" si="6">I21*J21</f>
        <v>1235.82656</v>
      </c>
      <c r="L21" s="7"/>
      <c r="N21" s="1"/>
      <c r="O21" s="3" t="s">
        <v>128</v>
      </c>
      <c r="P21" s="30">
        <v>5100</v>
      </c>
      <c r="Q21" s="96">
        <f>P21/P22</f>
        <v>164.51612903225808</v>
      </c>
      <c r="R21" s="96">
        <f>Q21*P23</f>
        <v>2961.2903225806454</v>
      </c>
    </row>
    <row r="22" spans="3:18" x14ac:dyDescent="0.25">
      <c r="C22" s="39">
        <v>44975</v>
      </c>
      <c r="D22" s="165">
        <v>45003</v>
      </c>
      <c r="E22" s="67">
        <v>1204300</v>
      </c>
      <c r="F22" s="30">
        <v>5500</v>
      </c>
      <c r="G22" s="15">
        <f t="shared" si="4"/>
        <v>1198800</v>
      </c>
      <c r="H22" s="21">
        <v>1198924</v>
      </c>
      <c r="I22" s="22">
        <f t="shared" si="5"/>
        <v>1198.8</v>
      </c>
      <c r="J22" s="31">
        <v>0.93679999999999997</v>
      </c>
      <c r="K22" s="32">
        <f t="shared" si="6"/>
        <v>1123.03584</v>
      </c>
      <c r="L22" s="7"/>
      <c r="N22" s="1"/>
      <c r="O22" s="3" t="s">
        <v>129</v>
      </c>
      <c r="P22" s="3">
        <f>D30-C30</f>
        <v>31</v>
      </c>
      <c r="Q22" s="3"/>
      <c r="R22" s="3"/>
    </row>
    <row r="23" spans="3:18" x14ac:dyDescent="0.25">
      <c r="C23" s="39">
        <v>45003</v>
      </c>
      <c r="D23" s="165">
        <v>45017</v>
      </c>
      <c r="E23" s="67">
        <v>715200</v>
      </c>
      <c r="F23" s="30">
        <v>2400</v>
      </c>
      <c r="G23" s="15">
        <f t="shared" si="4"/>
        <v>712800</v>
      </c>
      <c r="H23" s="21">
        <v>712512</v>
      </c>
      <c r="I23" s="22">
        <f t="shared" si="5"/>
        <v>712.51199999999994</v>
      </c>
      <c r="J23" s="31">
        <v>0.93679999999999997</v>
      </c>
      <c r="K23" s="32">
        <f t="shared" si="6"/>
        <v>667.48124159999998</v>
      </c>
      <c r="L23" s="7"/>
      <c r="N23" s="1"/>
      <c r="O23" s="3" t="s">
        <v>130</v>
      </c>
      <c r="P23" s="3">
        <f>D31-C31+1</f>
        <v>18</v>
      </c>
      <c r="Q23" s="3"/>
      <c r="R23" s="3"/>
    </row>
    <row r="24" spans="3:18" x14ac:dyDescent="0.25">
      <c r="C24" s="39">
        <v>45017</v>
      </c>
      <c r="D24" s="165">
        <v>45047</v>
      </c>
      <c r="E24" s="67">
        <v>1495100</v>
      </c>
      <c r="F24" s="30">
        <v>5400</v>
      </c>
      <c r="G24" s="15">
        <f t="shared" si="4"/>
        <v>1489700</v>
      </c>
      <c r="H24" s="21">
        <v>1489340</v>
      </c>
      <c r="I24" s="22">
        <f t="shared" si="5"/>
        <v>1489.34</v>
      </c>
      <c r="J24" s="31">
        <v>0.93679999999999997</v>
      </c>
      <c r="K24" s="32">
        <f t="shared" si="6"/>
        <v>1395.2137119999998</v>
      </c>
      <c r="L24" s="7"/>
      <c r="N24" s="1"/>
      <c r="O24" s="3"/>
      <c r="P24" s="3"/>
      <c r="Q24" s="3"/>
      <c r="R24" s="3"/>
    </row>
    <row r="25" spans="3:18" x14ac:dyDescent="0.25">
      <c r="C25" s="39">
        <v>45047</v>
      </c>
      <c r="D25" s="165">
        <v>45078</v>
      </c>
      <c r="E25" s="164">
        <v>1458400</v>
      </c>
      <c r="F25" s="14">
        <v>5000</v>
      </c>
      <c r="G25" s="15">
        <f t="shared" si="4"/>
        <v>1453400</v>
      </c>
      <c r="H25" s="33">
        <v>1453400</v>
      </c>
      <c r="I25" s="22">
        <f t="shared" si="5"/>
        <v>1453.4</v>
      </c>
      <c r="J25" s="41">
        <v>0.93679999999999997</v>
      </c>
      <c r="K25" s="42">
        <f t="shared" si="6"/>
        <v>1361.54512</v>
      </c>
      <c r="L25" s="7"/>
    </row>
    <row r="26" spans="3:18" ht="15.75" thickBot="1" x14ac:dyDescent="0.3">
      <c r="C26" s="166">
        <v>45078</v>
      </c>
      <c r="D26" s="75">
        <v>45107</v>
      </c>
      <c r="E26" s="254">
        <f>E34</f>
        <v>1350723.3333333333</v>
      </c>
      <c r="F26" s="202">
        <f>F34</f>
        <v>4446.666666666667</v>
      </c>
      <c r="G26" s="200">
        <f>E26-F26</f>
        <v>1346276.6666666665</v>
      </c>
      <c r="H26" s="257">
        <v>1392600</v>
      </c>
      <c r="I26" s="22">
        <f t="shared" si="5"/>
        <v>1346.2766666666664</v>
      </c>
      <c r="J26" s="41">
        <v>0.93679999999999997</v>
      </c>
      <c r="K26" s="42">
        <f t="shared" si="6"/>
        <v>1261.1919813333332</v>
      </c>
      <c r="L26" s="7"/>
    </row>
    <row r="27" spans="3:18" ht="15.75" thickBot="1" x14ac:dyDescent="0.3">
      <c r="C27" s="385" t="s">
        <v>71</v>
      </c>
      <c r="D27" s="386"/>
      <c r="E27" s="84">
        <f>SUM(E20:E26)</f>
        <v>8731923.333333334</v>
      </c>
      <c r="F27" s="62">
        <f>SUM(F20:F26)</f>
        <v>35246.666666666664</v>
      </c>
      <c r="G27" s="50">
        <f>SUM(G20:G25)</f>
        <v>7350400</v>
      </c>
      <c r="H27" s="62">
        <f>SUM(H20:H26)</f>
        <v>8743072</v>
      </c>
      <c r="I27" s="62">
        <f>SUM(I20:I26)</f>
        <v>8696.028666666667</v>
      </c>
      <c r="J27" s="54">
        <v>0.93679999999999997</v>
      </c>
      <c r="K27" s="55">
        <f>ROUNDDOWN(I27*J27,0)</f>
        <v>8146</v>
      </c>
    </row>
    <row r="28" spans="3:18" ht="15.75" thickBot="1" x14ac:dyDescent="0.3">
      <c r="C28" s="345" t="s">
        <v>3</v>
      </c>
      <c r="D28" s="346"/>
      <c r="E28" s="76">
        <f>E27+E19</f>
        <v>18180894.301075272</v>
      </c>
      <c r="F28" s="90">
        <f>F19+F27</f>
        <v>84307.956989247308</v>
      </c>
      <c r="G28" s="91">
        <f>G27+G19</f>
        <v>16750309.677419355</v>
      </c>
      <c r="H28" s="58">
        <f>H27+H19</f>
        <v>18692896</v>
      </c>
      <c r="I28" s="58">
        <f>SUM(I19+I27)</f>
        <v>18095.938344086022</v>
      </c>
      <c r="J28" s="59">
        <v>0.93679999999999997</v>
      </c>
      <c r="K28" s="60">
        <f>ROUNDDOWN(SUM(K19+K27),0)</f>
        <v>16951</v>
      </c>
    </row>
    <row r="29" spans="3:18" x14ac:dyDescent="0.25">
      <c r="C29" s="198"/>
      <c r="D29" s="198"/>
      <c r="H29" s="162"/>
      <c r="I29" s="162"/>
      <c r="J29" s="199"/>
      <c r="K29" s="162"/>
      <c r="N29" s="306">
        <v>45078</v>
      </c>
      <c r="O29" s="307"/>
      <c r="P29" s="307"/>
      <c r="Q29" s="307"/>
      <c r="R29" s="308"/>
    </row>
    <row r="30" spans="3:18" x14ac:dyDescent="0.25">
      <c r="C30" s="201">
        <v>44638</v>
      </c>
      <c r="D30" s="201">
        <v>44669</v>
      </c>
      <c r="E30" s="188">
        <v>1312800</v>
      </c>
      <c r="F30" s="189">
        <v>5100</v>
      </c>
      <c r="H30" s="162"/>
      <c r="I30" s="162"/>
      <c r="J30" s="199"/>
      <c r="K30" s="162"/>
      <c r="N30" s="5"/>
      <c r="O30" s="3"/>
      <c r="P30" s="3"/>
      <c r="Q30" s="3" t="s">
        <v>131</v>
      </c>
      <c r="R30" s="3" t="s">
        <v>137</v>
      </c>
    </row>
    <row r="31" spans="3:18" x14ac:dyDescent="0.25">
      <c r="C31" s="201">
        <v>44652</v>
      </c>
      <c r="D31" s="201">
        <v>44669</v>
      </c>
      <c r="E31" s="202">
        <f>R20</f>
        <v>762270.96774193551</v>
      </c>
      <c r="F31" s="202">
        <f>R21</f>
        <v>2961.2903225806454</v>
      </c>
      <c r="H31" s="162"/>
      <c r="I31" s="162"/>
      <c r="J31" s="199"/>
      <c r="K31" s="162"/>
      <c r="N31" s="5"/>
      <c r="O31" s="3" t="s">
        <v>127</v>
      </c>
      <c r="P31" s="30">
        <v>1397300</v>
      </c>
      <c r="Q31" s="96">
        <f>P31/P33</f>
        <v>46576.666666666664</v>
      </c>
      <c r="R31" s="96">
        <f>Q31*P34</f>
        <v>1350723.3333333333</v>
      </c>
    </row>
    <row r="32" spans="3:18" x14ac:dyDescent="0.25">
      <c r="C32" s="198"/>
      <c r="D32" s="198"/>
      <c r="H32" s="162"/>
      <c r="I32" s="162"/>
      <c r="J32" s="199"/>
      <c r="K32" s="162"/>
      <c r="N32" s="5"/>
      <c r="O32" s="3" t="s">
        <v>128</v>
      </c>
      <c r="P32" s="30">
        <v>4600</v>
      </c>
      <c r="Q32" s="96">
        <f>P32/P33</f>
        <v>153.33333333333334</v>
      </c>
      <c r="R32" s="96">
        <f>Q32*P34</f>
        <v>4446.666666666667</v>
      </c>
    </row>
    <row r="33" spans="3:18" x14ac:dyDescent="0.25">
      <c r="C33" s="201">
        <v>45078</v>
      </c>
      <c r="D33" s="201">
        <v>45108</v>
      </c>
      <c r="E33" s="188">
        <v>1397300</v>
      </c>
      <c r="F33" s="189">
        <v>4600</v>
      </c>
      <c r="H33" s="162"/>
      <c r="I33" s="162"/>
      <c r="J33" s="199"/>
      <c r="K33" s="162"/>
      <c r="N33" s="5"/>
      <c r="O33" s="3" t="s">
        <v>129</v>
      </c>
      <c r="P33" s="3">
        <f>D33-C33</f>
        <v>30</v>
      </c>
      <c r="Q33" s="3"/>
      <c r="R33" s="3"/>
    </row>
    <row r="34" spans="3:18" x14ac:dyDescent="0.25">
      <c r="C34" s="201">
        <v>45078</v>
      </c>
      <c r="D34" s="201">
        <v>45107</v>
      </c>
      <c r="E34" s="195">
        <f>R31</f>
        <v>1350723.3333333333</v>
      </c>
      <c r="F34" s="197">
        <f>R32</f>
        <v>4446.666666666667</v>
      </c>
      <c r="H34" s="162"/>
      <c r="I34" s="162"/>
      <c r="J34" s="199"/>
      <c r="K34" s="162"/>
      <c r="N34" s="5"/>
      <c r="O34" s="3" t="s">
        <v>130</v>
      </c>
      <c r="P34" s="3">
        <f>D34-C34</f>
        <v>29</v>
      </c>
      <c r="Q34" s="3"/>
      <c r="R34" s="3"/>
    </row>
    <row r="35" spans="3:18" ht="15.75" thickBot="1" x14ac:dyDescent="0.3">
      <c r="N35" s="5"/>
      <c r="O35" s="3"/>
      <c r="P35" s="3"/>
      <c r="Q35" s="3"/>
      <c r="R35" s="3"/>
    </row>
    <row r="36" spans="3:18" x14ac:dyDescent="0.25">
      <c r="C36" s="265">
        <v>45017</v>
      </c>
      <c r="D36" s="266">
        <v>45047</v>
      </c>
      <c r="E36" s="68">
        <v>1495100</v>
      </c>
      <c r="F36" s="3">
        <v>5400</v>
      </c>
    </row>
    <row r="37" spans="3:18" ht="15.75" thickBot="1" x14ac:dyDescent="0.3">
      <c r="C37" s="267">
        <v>45047</v>
      </c>
      <c r="D37" s="268">
        <v>45078</v>
      </c>
      <c r="E37" s="68">
        <v>1458400</v>
      </c>
      <c r="F37" s="3">
        <v>5000</v>
      </c>
      <c r="G37" s="141" t="s">
        <v>33</v>
      </c>
    </row>
    <row r="38" spans="3:18" ht="15.75" thickBot="1" x14ac:dyDescent="0.3"/>
    <row r="39" spans="3:18" ht="16.5" customHeight="1" thickBot="1" x14ac:dyDescent="0.3">
      <c r="C39" s="324" t="s">
        <v>67</v>
      </c>
      <c r="D39" s="325"/>
      <c r="E39" s="324" t="s">
        <v>34</v>
      </c>
      <c r="F39" s="335"/>
      <c r="G39" s="336"/>
      <c r="H39" s="377" t="s">
        <v>86</v>
      </c>
      <c r="I39" s="378"/>
      <c r="J39" s="378"/>
      <c r="K39" s="379"/>
      <c r="Q39" s="7"/>
    </row>
    <row r="40" spans="3:18" ht="15.75" thickBot="1" x14ac:dyDescent="0.3">
      <c r="C40" s="326" t="s">
        <v>31</v>
      </c>
      <c r="D40" s="327"/>
      <c r="E40" s="332" t="s">
        <v>32</v>
      </c>
      <c r="F40" s="342"/>
      <c r="G40" s="343"/>
      <c r="H40" s="380"/>
      <c r="I40" s="381"/>
      <c r="J40" s="381"/>
      <c r="K40" s="382"/>
    </row>
    <row r="41" spans="3:18" ht="15.75" customHeight="1" thickBot="1" x14ac:dyDescent="0.3">
      <c r="C41" s="328" t="s">
        <v>74</v>
      </c>
      <c r="D41" s="329"/>
      <c r="E41" s="337" t="s">
        <v>87</v>
      </c>
      <c r="F41" s="338"/>
      <c r="G41" s="339"/>
      <c r="H41" s="64"/>
      <c r="I41" s="64"/>
      <c r="J41" s="64"/>
      <c r="K41" s="65"/>
    </row>
    <row r="42" spans="3:18" ht="30.75" thickBot="1" x14ac:dyDescent="0.3">
      <c r="C42" s="326" t="s">
        <v>0</v>
      </c>
      <c r="D42" s="327"/>
      <c r="E42" s="43" t="s">
        <v>72</v>
      </c>
      <c r="F42" s="44" t="s">
        <v>73</v>
      </c>
      <c r="G42" s="61" t="s">
        <v>64</v>
      </c>
      <c r="H42" s="44" t="s">
        <v>100</v>
      </c>
      <c r="I42" s="44" t="s">
        <v>69</v>
      </c>
      <c r="J42" s="44" t="s">
        <v>1</v>
      </c>
      <c r="K42" s="45" t="s">
        <v>2</v>
      </c>
      <c r="M42" s="1"/>
    </row>
    <row r="43" spans="3:18" x14ac:dyDescent="0.25">
      <c r="C43" s="38">
        <v>44652</v>
      </c>
      <c r="D43" s="51">
        <v>44676</v>
      </c>
      <c r="E43" s="195">
        <f>E64</f>
        <v>1126408.064516129</v>
      </c>
      <c r="F43" s="197">
        <f>F64</f>
        <v>1391.9354838709678</v>
      </c>
      <c r="G43" s="200">
        <f>E43-F43</f>
        <v>1125016.1290322579</v>
      </c>
      <c r="H43" s="22">
        <v>1395020</v>
      </c>
      <c r="I43" s="22">
        <f>((MIN(G43,H43))/1000)</f>
        <v>1125.016129032258</v>
      </c>
      <c r="J43" s="35">
        <v>0.93679999999999997</v>
      </c>
      <c r="K43" s="36">
        <f>I43*J43</f>
        <v>1053.9151096774192</v>
      </c>
      <c r="L43" s="7"/>
      <c r="M43" s="1"/>
      <c r="N43" s="3"/>
      <c r="O43" s="3"/>
      <c r="P43" s="3"/>
      <c r="Q43" s="3"/>
    </row>
    <row r="44" spans="3:18" x14ac:dyDescent="0.25">
      <c r="C44" s="38">
        <v>44676</v>
      </c>
      <c r="D44" s="51">
        <v>44706</v>
      </c>
      <c r="E44" s="46">
        <v>1255618</v>
      </c>
      <c r="F44" s="30">
        <v>967</v>
      </c>
      <c r="G44" s="15">
        <f t="shared" ref="G44:G51" si="7">E44-F44</f>
        <v>1254651</v>
      </c>
      <c r="H44" s="21">
        <v>1254651</v>
      </c>
      <c r="I44" s="22">
        <f t="shared" ref="I44:I51" si="8">(MIN(G44,H44))/1000</f>
        <v>1254.6510000000001</v>
      </c>
      <c r="J44" s="34">
        <v>0.93679999999999997</v>
      </c>
      <c r="K44" s="32">
        <f t="shared" ref="K44:K51" si="9">I44*J44</f>
        <v>1175.3570568</v>
      </c>
      <c r="L44" s="7"/>
      <c r="M44" s="1"/>
      <c r="N44" s="3"/>
      <c r="O44" s="3"/>
      <c r="P44" s="3" t="s">
        <v>131</v>
      </c>
      <c r="Q44" s="3" t="s">
        <v>132</v>
      </c>
    </row>
    <row r="45" spans="3:18" x14ac:dyDescent="0.25">
      <c r="C45" s="38">
        <v>44706</v>
      </c>
      <c r="D45" s="51">
        <v>44737</v>
      </c>
      <c r="E45" s="46">
        <v>1158385</v>
      </c>
      <c r="F45" s="30">
        <v>563</v>
      </c>
      <c r="G45" s="15">
        <f t="shared" si="7"/>
        <v>1157822</v>
      </c>
      <c r="H45" s="21">
        <v>1157822</v>
      </c>
      <c r="I45" s="22">
        <f t="shared" si="8"/>
        <v>1157.8219999999999</v>
      </c>
      <c r="J45" s="31">
        <v>0.93679999999999997</v>
      </c>
      <c r="K45" s="32">
        <f t="shared" si="9"/>
        <v>1084.6476495999998</v>
      </c>
      <c r="L45" s="7"/>
      <c r="M45" s="1"/>
      <c r="N45" s="3" t="s">
        <v>127</v>
      </c>
      <c r="O45" s="30">
        <v>1396746</v>
      </c>
      <c r="P45" s="96">
        <f>O45/O47</f>
        <v>45056.322580645159</v>
      </c>
      <c r="Q45" s="96">
        <f>P45*O48</f>
        <v>1126408.064516129</v>
      </c>
    </row>
    <row r="46" spans="3:18" x14ac:dyDescent="0.25">
      <c r="C46" s="38">
        <v>44737</v>
      </c>
      <c r="D46" s="51">
        <v>44767</v>
      </c>
      <c r="E46" s="46">
        <v>748588</v>
      </c>
      <c r="F46" s="30">
        <v>398</v>
      </c>
      <c r="G46" s="15">
        <f t="shared" si="7"/>
        <v>748190</v>
      </c>
      <c r="H46" s="21">
        <v>748190</v>
      </c>
      <c r="I46" s="22">
        <f t="shared" si="8"/>
        <v>748.19</v>
      </c>
      <c r="J46" s="31">
        <v>0.93679999999999997</v>
      </c>
      <c r="K46" s="32">
        <f t="shared" si="9"/>
        <v>700.90439200000003</v>
      </c>
      <c r="L46" s="7"/>
      <c r="M46" s="1"/>
      <c r="N46" s="3" t="s">
        <v>128</v>
      </c>
      <c r="O46" s="30">
        <v>1726</v>
      </c>
      <c r="P46" s="96">
        <f>O46/O47</f>
        <v>55.677419354838712</v>
      </c>
      <c r="Q46" s="96">
        <f>P46*O48</f>
        <v>1391.9354838709678</v>
      </c>
    </row>
    <row r="47" spans="3:18" x14ac:dyDescent="0.25">
      <c r="C47" s="38">
        <v>44767</v>
      </c>
      <c r="D47" s="51">
        <v>44798</v>
      </c>
      <c r="E47" s="46">
        <v>1083202</v>
      </c>
      <c r="F47" s="30">
        <v>431</v>
      </c>
      <c r="G47" s="15">
        <f t="shared" si="7"/>
        <v>1082771</v>
      </c>
      <c r="H47" s="21">
        <v>1082626</v>
      </c>
      <c r="I47" s="22">
        <f t="shared" si="8"/>
        <v>1082.626</v>
      </c>
      <c r="J47" s="34">
        <v>0.93679999999999997</v>
      </c>
      <c r="K47" s="32">
        <f t="shared" si="9"/>
        <v>1014.2040367999999</v>
      </c>
      <c r="L47" s="7"/>
      <c r="M47" s="1"/>
      <c r="N47" s="3" t="s">
        <v>129</v>
      </c>
      <c r="O47" s="3">
        <f>D63-C63</f>
        <v>31</v>
      </c>
      <c r="P47" s="3"/>
      <c r="Q47" s="3"/>
    </row>
    <row r="48" spans="3:18" x14ac:dyDescent="0.25">
      <c r="C48" s="38">
        <v>44798</v>
      </c>
      <c r="D48" s="51">
        <v>44829</v>
      </c>
      <c r="E48" s="46">
        <v>1095033</v>
      </c>
      <c r="F48" s="14">
        <v>860</v>
      </c>
      <c r="G48" s="15">
        <f t="shared" si="7"/>
        <v>1094173</v>
      </c>
      <c r="H48" s="21">
        <v>1093849</v>
      </c>
      <c r="I48" s="22">
        <f t="shared" si="8"/>
        <v>1093.8489999999999</v>
      </c>
      <c r="J48" s="31">
        <v>0.93679999999999997</v>
      </c>
      <c r="K48" s="32">
        <f t="shared" si="9"/>
        <v>1024.7177431999999</v>
      </c>
      <c r="L48" s="7"/>
      <c r="M48" s="1"/>
      <c r="N48" s="3" t="s">
        <v>130</v>
      </c>
      <c r="O48" s="3">
        <f>D64-C64+1</f>
        <v>25</v>
      </c>
      <c r="P48" s="3"/>
      <c r="Q48" s="3"/>
    </row>
    <row r="49" spans="3:17" x14ac:dyDescent="0.25">
      <c r="C49" s="38">
        <v>44829</v>
      </c>
      <c r="D49" s="51">
        <v>44859</v>
      </c>
      <c r="E49" s="46">
        <v>1044168</v>
      </c>
      <c r="F49" s="30">
        <v>703</v>
      </c>
      <c r="G49" s="15">
        <f t="shared" si="7"/>
        <v>1043465</v>
      </c>
      <c r="H49" s="21">
        <v>1043090</v>
      </c>
      <c r="I49" s="22">
        <f t="shared" si="8"/>
        <v>1043.0899999999999</v>
      </c>
      <c r="J49" s="31">
        <v>0.93679999999999997</v>
      </c>
      <c r="K49" s="32">
        <f t="shared" si="9"/>
        <v>977.16671199999985</v>
      </c>
      <c r="L49" s="7"/>
      <c r="N49" s="3"/>
      <c r="O49" s="3"/>
      <c r="P49" s="3"/>
      <c r="Q49" s="3"/>
    </row>
    <row r="50" spans="3:17" x14ac:dyDescent="0.25">
      <c r="C50" s="38">
        <v>44859</v>
      </c>
      <c r="D50" s="51">
        <v>44890</v>
      </c>
      <c r="E50" s="46">
        <v>1153060</v>
      </c>
      <c r="F50" s="30">
        <v>2169</v>
      </c>
      <c r="G50" s="15">
        <f t="shared" si="7"/>
        <v>1150891</v>
      </c>
      <c r="H50" s="21">
        <v>1148338</v>
      </c>
      <c r="I50" s="22">
        <f t="shared" si="8"/>
        <v>1148.338</v>
      </c>
      <c r="J50" s="34">
        <v>0.93679999999999997</v>
      </c>
      <c r="K50" s="32">
        <f t="shared" si="9"/>
        <v>1075.7630383999999</v>
      </c>
      <c r="L50" s="7"/>
    </row>
    <row r="51" spans="3:17" ht="15.75" thickBot="1" x14ac:dyDescent="0.3">
      <c r="C51" s="38">
        <v>44890</v>
      </c>
      <c r="D51" s="51">
        <v>44920</v>
      </c>
      <c r="E51" s="47">
        <v>965238</v>
      </c>
      <c r="F51" s="30">
        <v>5199</v>
      </c>
      <c r="G51" s="15">
        <f t="shared" si="7"/>
        <v>960039</v>
      </c>
      <c r="H51" s="33">
        <v>959795</v>
      </c>
      <c r="I51" s="22">
        <f t="shared" si="8"/>
        <v>959.79499999999996</v>
      </c>
      <c r="J51" s="41">
        <v>0.93679999999999997</v>
      </c>
      <c r="K51" s="42">
        <f t="shared" si="9"/>
        <v>899.13595599999996</v>
      </c>
      <c r="L51" s="7"/>
    </row>
    <row r="52" spans="3:17" ht="15.75" thickBot="1" x14ac:dyDescent="0.3">
      <c r="C52" s="330" t="s">
        <v>70</v>
      </c>
      <c r="D52" s="331"/>
      <c r="E52" s="84">
        <f>SUM(E43:E51)</f>
        <v>9629700.064516129</v>
      </c>
      <c r="F52" s="62">
        <f t="shared" ref="F52:I52" si="10">SUM(F43:F51)</f>
        <v>12681.935483870968</v>
      </c>
      <c r="G52" s="85">
        <f t="shared" si="10"/>
        <v>9617018.1290322579</v>
      </c>
      <c r="H52" s="49">
        <f t="shared" si="10"/>
        <v>9883381</v>
      </c>
      <c r="I52" s="62">
        <f t="shared" si="10"/>
        <v>9613.3771290322584</v>
      </c>
      <c r="J52" s="54">
        <v>0.93679999999999997</v>
      </c>
      <c r="K52" s="55">
        <f>ROUNDDOWN(I52*J52,0)</f>
        <v>9005</v>
      </c>
    </row>
    <row r="53" spans="3:17" x14ac:dyDescent="0.25">
      <c r="C53" s="38">
        <v>44920</v>
      </c>
      <c r="D53" s="51">
        <v>44951</v>
      </c>
      <c r="E53" s="37">
        <v>1238206</v>
      </c>
      <c r="F53" s="14">
        <v>5388</v>
      </c>
      <c r="G53" s="15">
        <f>E53-F53</f>
        <v>1232818</v>
      </c>
      <c r="H53" s="22">
        <v>1232581</v>
      </c>
      <c r="I53" s="22">
        <f>(MIN(G53,H53))/1000</f>
        <v>1232.5809999999999</v>
      </c>
      <c r="J53" s="35">
        <v>0.93679999999999997</v>
      </c>
      <c r="K53" s="36">
        <f>I53*J53</f>
        <v>1154.6818807999998</v>
      </c>
      <c r="L53" s="7"/>
    </row>
    <row r="54" spans="3:17" x14ac:dyDescent="0.25">
      <c r="C54" s="39">
        <v>44951</v>
      </c>
      <c r="D54" s="52">
        <v>44982</v>
      </c>
      <c r="E54" s="46">
        <v>1466387</v>
      </c>
      <c r="F54" s="30">
        <v>4520</v>
      </c>
      <c r="G54" s="15">
        <f t="shared" ref="G54:G59" si="11">E54-F54</f>
        <v>1461867</v>
      </c>
      <c r="H54" s="21">
        <v>1460762</v>
      </c>
      <c r="I54" s="22">
        <f t="shared" ref="I54:I58" si="12">(MIN(G54,H54))/1000</f>
        <v>1460.7619999999999</v>
      </c>
      <c r="J54" s="31">
        <v>0.93679999999999997</v>
      </c>
      <c r="K54" s="32">
        <f t="shared" ref="K54:K58" si="13">I54*J54</f>
        <v>1368.4418415999999</v>
      </c>
      <c r="L54" s="7"/>
    </row>
    <row r="55" spans="3:17" x14ac:dyDescent="0.25">
      <c r="C55" s="38">
        <v>44982</v>
      </c>
      <c r="D55" s="51">
        <v>45009</v>
      </c>
      <c r="E55" s="46">
        <v>1224481</v>
      </c>
      <c r="F55" s="30">
        <v>3622</v>
      </c>
      <c r="G55" s="15">
        <f t="shared" si="11"/>
        <v>1220859</v>
      </c>
      <c r="H55" s="21">
        <v>1220262</v>
      </c>
      <c r="I55" s="22">
        <f t="shared" si="12"/>
        <v>1220.2619999999999</v>
      </c>
      <c r="J55" s="31">
        <v>0.93679999999999997</v>
      </c>
      <c r="K55" s="32">
        <f t="shared" si="13"/>
        <v>1143.1414416</v>
      </c>
      <c r="L55" s="7"/>
    </row>
    <row r="56" spans="3:17" x14ac:dyDescent="0.25">
      <c r="C56" s="239">
        <v>45010</v>
      </c>
      <c r="D56" s="240">
        <v>45017</v>
      </c>
      <c r="E56" s="154">
        <v>308807</v>
      </c>
      <c r="F56" s="3">
        <v>776</v>
      </c>
      <c r="G56" s="243">
        <f t="shared" si="11"/>
        <v>308031</v>
      </c>
      <c r="H56" s="21">
        <v>312970</v>
      </c>
      <c r="I56" s="22">
        <f t="shared" si="12"/>
        <v>308.03100000000001</v>
      </c>
      <c r="J56" s="31">
        <v>0.93679999999999997</v>
      </c>
      <c r="K56" s="32">
        <f t="shared" si="13"/>
        <v>288.56344079999997</v>
      </c>
      <c r="L56" s="7"/>
    </row>
    <row r="57" spans="3:17" x14ac:dyDescent="0.25">
      <c r="C57" s="236">
        <v>45017</v>
      </c>
      <c r="D57" s="237">
        <v>45048</v>
      </c>
      <c r="E57" s="154">
        <v>1487152</v>
      </c>
      <c r="F57" s="3">
        <v>4133</v>
      </c>
      <c r="G57" s="243">
        <f t="shared" si="11"/>
        <v>1483019</v>
      </c>
      <c r="H57" s="21">
        <v>1481845</v>
      </c>
      <c r="I57" s="22">
        <f t="shared" si="12"/>
        <v>1481.845</v>
      </c>
      <c r="J57" s="31">
        <v>0.93679999999999997</v>
      </c>
      <c r="K57" s="32">
        <f t="shared" si="13"/>
        <v>1388.1923959999999</v>
      </c>
      <c r="L57" s="7"/>
    </row>
    <row r="58" spans="3:17" x14ac:dyDescent="0.25">
      <c r="C58" s="239">
        <v>45048</v>
      </c>
      <c r="D58" s="240">
        <v>45078</v>
      </c>
      <c r="E58" s="186">
        <v>1401554</v>
      </c>
      <c r="F58" s="238">
        <v>3819</v>
      </c>
      <c r="G58" s="243">
        <f t="shared" si="11"/>
        <v>1397735</v>
      </c>
      <c r="H58" s="33">
        <v>1397208</v>
      </c>
      <c r="I58" s="22">
        <f t="shared" si="12"/>
        <v>1397.2080000000001</v>
      </c>
      <c r="J58" s="31">
        <v>0.93679999999999997</v>
      </c>
      <c r="K58" s="42">
        <f t="shared" si="13"/>
        <v>1308.9044544000001</v>
      </c>
      <c r="L58" s="7"/>
    </row>
    <row r="59" spans="3:17" ht="15.75" thickBot="1" x14ac:dyDescent="0.3">
      <c r="C59" s="38">
        <v>45078</v>
      </c>
      <c r="D59" s="51">
        <v>45107</v>
      </c>
      <c r="E59" s="258">
        <f>E67</f>
        <v>1339079.8333333333</v>
      </c>
      <c r="F59" s="202">
        <f>F67</f>
        <v>3785.4666666666667</v>
      </c>
      <c r="G59" s="200">
        <f t="shared" si="11"/>
        <v>1335294.3666666667</v>
      </c>
      <c r="H59" s="259">
        <v>1380317</v>
      </c>
      <c r="I59" s="22">
        <f t="shared" ref="I59" si="14">(MIN(G59,H59))/1000</f>
        <v>1335.2943666666667</v>
      </c>
      <c r="J59" s="31">
        <v>0.93679999999999997</v>
      </c>
      <c r="K59" s="42">
        <f t="shared" ref="K59" si="15">I59*J59</f>
        <v>1250.9037626933334</v>
      </c>
      <c r="L59" s="7"/>
    </row>
    <row r="60" spans="3:17" ht="15.75" thickBot="1" x14ac:dyDescent="0.3">
      <c r="C60" s="330" t="s">
        <v>71</v>
      </c>
      <c r="D60" s="331"/>
      <c r="E60" s="48">
        <f>SUM(E53:E59)</f>
        <v>8465666.833333334</v>
      </c>
      <c r="F60" s="49">
        <f>SUM(F53:F59)</f>
        <v>26043.466666666667</v>
      </c>
      <c r="G60" s="50">
        <f>SUM(G53:G58)</f>
        <v>7104329</v>
      </c>
      <c r="H60" s="62">
        <f>SUM(H53:H59)</f>
        <v>8485945</v>
      </c>
      <c r="I60" s="62">
        <f>SUM(I53:I59)</f>
        <v>8435.9833666666673</v>
      </c>
      <c r="J60" s="54">
        <v>0.93679999999999997</v>
      </c>
      <c r="K60" s="55">
        <f>ROUNDDOWN(I60*J60,0)</f>
        <v>7902</v>
      </c>
    </row>
    <row r="61" spans="3:17" ht="15.75" thickBot="1" x14ac:dyDescent="0.3">
      <c r="C61" s="345" t="s">
        <v>3</v>
      </c>
      <c r="D61" s="346"/>
      <c r="E61" s="76">
        <f>E60+E52</f>
        <v>18095366.897849463</v>
      </c>
      <c r="F61" s="90">
        <f>F52+F60</f>
        <v>38725.402150537637</v>
      </c>
      <c r="G61" s="91">
        <f>G60+G52</f>
        <v>16721347.129032258</v>
      </c>
      <c r="H61" s="58">
        <f>H60+H52</f>
        <v>18369326</v>
      </c>
      <c r="I61" s="58">
        <f>SUM(I52+I60)</f>
        <v>18049.360495698926</v>
      </c>
      <c r="J61" s="59">
        <v>0.93679999999999997</v>
      </c>
      <c r="K61" s="60">
        <f>ROUNDDOWN(SUM(K52+K60),0)</f>
        <v>16907</v>
      </c>
    </row>
    <row r="62" spans="3:17" x14ac:dyDescent="0.25">
      <c r="C62" s="198"/>
      <c r="D62" s="198"/>
      <c r="H62" s="162"/>
      <c r="I62" s="162"/>
      <c r="J62" s="199"/>
      <c r="K62" s="162"/>
      <c r="M62" s="306">
        <v>45078</v>
      </c>
      <c r="N62" s="307"/>
      <c r="O62" s="307"/>
      <c r="P62" s="307"/>
      <c r="Q62" s="308"/>
    </row>
    <row r="63" spans="3:17" x14ac:dyDescent="0.25">
      <c r="C63" s="201">
        <v>44645</v>
      </c>
      <c r="D63" s="201">
        <v>44676</v>
      </c>
      <c r="E63" s="188">
        <v>1396746</v>
      </c>
      <c r="F63" s="189">
        <v>1726</v>
      </c>
      <c r="H63" s="162"/>
      <c r="I63" s="162"/>
      <c r="J63" s="199"/>
      <c r="K63" s="162"/>
      <c r="M63" s="5"/>
      <c r="N63" s="3"/>
      <c r="O63" s="3"/>
      <c r="P63" s="3" t="s">
        <v>131</v>
      </c>
      <c r="Q63" s="3" t="s">
        <v>139</v>
      </c>
    </row>
    <row r="64" spans="3:17" x14ac:dyDescent="0.25">
      <c r="C64" s="201">
        <v>44652</v>
      </c>
      <c r="D64" s="201">
        <v>44676</v>
      </c>
      <c r="E64" s="202">
        <f>Q45</f>
        <v>1126408.064516129</v>
      </c>
      <c r="F64" s="202">
        <f>Q46</f>
        <v>1391.9354838709678</v>
      </c>
      <c r="H64" s="162"/>
      <c r="I64" s="162"/>
      <c r="J64" s="199"/>
      <c r="K64" s="162"/>
      <c r="M64" s="5"/>
      <c r="N64" s="3" t="s">
        <v>127</v>
      </c>
      <c r="O64" s="30">
        <v>1385255</v>
      </c>
      <c r="P64" s="96">
        <f>O64/O66</f>
        <v>46175.166666666664</v>
      </c>
      <c r="Q64" s="96">
        <f>P64*O67</f>
        <v>1339079.8333333333</v>
      </c>
    </row>
    <row r="65" spans="3:17" x14ac:dyDescent="0.25">
      <c r="C65" s="198"/>
      <c r="D65" s="198"/>
      <c r="H65" s="162"/>
      <c r="I65" s="162"/>
      <c r="J65" s="199"/>
      <c r="K65" s="162"/>
      <c r="M65" s="5"/>
      <c r="N65" s="3" t="s">
        <v>128</v>
      </c>
      <c r="O65" s="30">
        <v>3916</v>
      </c>
      <c r="P65" s="96">
        <f>O65/O66</f>
        <v>130.53333333333333</v>
      </c>
      <c r="Q65" s="96">
        <f>P65*O67</f>
        <v>3785.4666666666667</v>
      </c>
    </row>
    <row r="66" spans="3:17" x14ac:dyDescent="0.25">
      <c r="C66" s="201">
        <v>45078</v>
      </c>
      <c r="D66" s="201">
        <v>45108</v>
      </c>
      <c r="E66" s="188">
        <v>1385255</v>
      </c>
      <c r="F66" s="189">
        <v>3916</v>
      </c>
      <c r="H66" s="162"/>
      <c r="I66" s="162"/>
      <c r="J66" s="199"/>
      <c r="K66" s="162"/>
      <c r="M66" s="5"/>
      <c r="N66" s="3" t="s">
        <v>129</v>
      </c>
      <c r="O66" s="3">
        <f>D66-C66</f>
        <v>30</v>
      </c>
      <c r="P66" s="3"/>
      <c r="Q66" s="3"/>
    </row>
    <row r="67" spans="3:17" x14ac:dyDescent="0.25">
      <c r="C67" s="201">
        <v>45078</v>
      </c>
      <c r="D67" s="201">
        <v>45107</v>
      </c>
      <c r="E67" s="195">
        <f>Q64</f>
        <v>1339079.8333333333</v>
      </c>
      <c r="F67" s="197">
        <f>Q65</f>
        <v>3785.4666666666667</v>
      </c>
      <c r="H67" s="162"/>
      <c r="I67" s="162"/>
      <c r="J67" s="199"/>
      <c r="K67" s="162"/>
      <c r="M67" s="5"/>
      <c r="N67" s="3" t="s">
        <v>130</v>
      </c>
      <c r="O67" s="3">
        <f>D67-C67</f>
        <v>29</v>
      </c>
      <c r="P67" s="3"/>
      <c r="Q67" s="3"/>
    </row>
    <row r="68" spans="3:17" x14ac:dyDescent="0.25">
      <c r="M68" s="5"/>
      <c r="N68" s="3"/>
      <c r="O68" s="3"/>
      <c r="P68" s="3"/>
      <c r="Q68" s="3"/>
    </row>
    <row r="69" spans="3:17" x14ac:dyDescent="0.25">
      <c r="C69" s="235"/>
      <c r="D69" s="235"/>
    </row>
    <row r="70" spans="3:17" x14ac:dyDescent="0.25">
      <c r="C70" s="235"/>
      <c r="D70" s="235"/>
      <c r="G70" s="141"/>
    </row>
    <row r="71" spans="3:17" x14ac:dyDescent="0.25">
      <c r="C71" s="235"/>
      <c r="D71" s="235"/>
    </row>
    <row r="72" spans="3:17" ht="15.75" thickBot="1" x14ac:dyDescent="0.3"/>
    <row r="73" spans="3:17" ht="16.5" customHeight="1" thickBot="1" x14ac:dyDescent="0.3">
      <c r="C73" s="324" t="s">
        <v>67</v>
      </c>
      <c r="D73" s="325"/>
      <c r="E73" s="324" t="s">
        <v>35</v>
      </c>
      <c r="F73" s="335"/>
      <c r="G73" s="336"/>
      <c r="H73" s="377" t="s">
        <v>86</v>
      </c>
      <c r="I73" s="378"/>
      <c r="J73" s="378"/>
      <c r="K73" s="379"/>
    </row>
    <row r="74" spans="3:17" ht="15.75" thickBot="1" x14ac:dyDescent="0.3">
      <c r="C74" s="326" t="s">
        <v>31</v>
      </c>
      <c r="D74" s="327"/>
      <c r="E74" s="332" t="s">
        <v>29</v>
      </c>
      <c r="F74" s="342"/>
      <c r="G74" s="343"/>
      <c r="H74" s="380"/>
      <c r="I74" s="381"/>
      <c r="J74" s="381"/>
      <c r="K74" s="382"/>
    </row>
    <row r="75" spans="3:17" ht="15.75" customHeight="1" thickBot="1" x14ac:dyDescent="0.3">
      <c r="C75" s="328" t="s">
        <v>74</v>
      </c>
      <c r="D75" s="329"/>
      <c r="E75" s="337" t="s">
        <v>87</v>
      </c>
      <c r="F75" s="338"/>
      <c r="G75" s="339"/>
      <c r="H75" s="64"/>
      <c r="I75" s="64"/>
      <c r="J75" s="64"/>
      <c r="K75" s="65"/>
    </row>
    <row r="76" spans="3:17" ht="30.75" thickBot="1" x14ac:dyDescent="0.3">
      <c r="C76" s="326" t="s">
        <v>0</v>
      </c>
      <c r="D76" s="327"/>
      <c r="E76" s="43" t="s">
        <v>72</v>
      </c>
      <c r="F76" s="44" t="s">
        <v>73</v>
      </c>
      <c r="G76" s="61" t="s">
        <v>64</v>
      </c>
      <c r="H76" s="44" t="s">
        <v>100</v>
      </c>
      <c r="I76" s="44" t="s">
        <v>69</v>
      </c>
      <c r="J76" s="44" t="s">
        <v>1</v>
      </c>
      <c r="K76" s="45" t="s">
        <v>2</v>
      </c>
    </row>
    <row r="77" spans="3:17" x14ac:dyDescent="0.25">
      <c r="C77" s="38">
        <v>44652</v>
      </c>
      <c r="D77" s="51">
        <v>44676</v>
      </c>
      <c r="E77" s="195">
        <f>E98</f>
        <v>1501632</v>
      </c>
      <c r="F77" s="197">
        <f>F98</f>
        <v>5952</v>
      </c>
      <c r="G77" s="200">
        <f>E77-F77</f>
        <v>1495680</v>
      </c>
      <c r="H77" s="22">
        <v>2038600</v>
      </c>
      <c r="I77" s="22">
        <f>((MIN(G77,H77))/1000)</f>
        <v>1495.68</v>
      </c>
      <c r="J77" s="35">
        <v>0.93679999999999997</v>
      </c>
      <c r="K77" s="36">
        <f>I77*J77</f>
        <v>1401.153024</v>
      </c>
      <c r="L77" s="7"/>
      <c r="M77" s="1"/>
    </row>
    <row r="78" spans="3:17" x14ac:dyDescent="0.25">
      <c r="C78" s="39">
        <v>44676</v>
      </c>
      <c r="D78" s="52">
        <v>44705</v>
      </c>
      <c r="E78" s="46">
        <v>1963900</v>
      </c>
      <c r="F78" s="30">
        <v>7100</v>
      </c>
      <c r="G78" s="15">
        <f t="shared" ref="G78:G85" si="16">E78-F78</f>
        <v>1956800</v>
      </c>
      <c r="H78" s="21">
        <v>1956800</v>
      </c>
      <c r="I78" s="22">
        <f t="shared" ref="I78:I85" si="17">(MIN(G78,H78))/1000</f>
        <v>1956.8</v>
      </c>
      <c r="J78" s="34">
        <v>0.93679999999999997</v>
      </c>
      <c r="K78" s="32">
        <f t="shared" ref="K78:K85" si="18">I78*J78</f>
        <v>1833.13024</v>
      </c>
      <c r="L78" s="7"/>
      <c r="M78" s="1"/>
    </row>
    <row r="79" spans="3:17" x14ac:dyDescent="0.25">
      <c r="C79" s="39">
        <v>44705</v>
      </c>
      <c r="D79" s="52">
        <v>44739</v>
      </c>
      <c r="E79" s="46">
        <v>2192100</v>
      </c>
      <c r="F79" s="30">
        <v>8500</v>
      </c>
      <c r="G79" s="15">
        <f t="shared" si="16"/>
        <v>2183600</v>
      </c>
      <c r="H79" s="21">
        <v>2183600</v>
      </c>
      <c r="I79" s="22">
        <f t="shared" si="17"/>
        <v>2183.6</v>
      </c>
      <c r="J79" s="31">
        <v>0.93679999999999997</v>
      </c>
      <c r="K79" s="32">
        <f t="shared" si="18"/>
        <v>2045.5964799999999</v>
      </c>
      <c r="L79" s="7"/>
      <c r="M79" s="1"/>
      <c r="N79" s="3"/>
      <c r="O79" s="3"/>
      <c r="P79" s="3" t="s">
        <v>131</v>
      </c>
      <c r="Q79" s="3" t="s">
        <v>144</v>
      </c>
    </row>
    <row r="80" spans="3:17" x14ac:dyDescent="0.25">
      <c r="C80" s="38">
        <v>44739</v>
      </c>
      <c r="D80" s="51">
        <v>44768</v>
      </c>
      <c r="E80" s="46">
        <v>1228100</v>
      </c>
      <c r="F80" s="30">
        <v>7100</v>
      </c>
      <c r="G80" s="15">
        <f t="shared" si="16"/>
        <v>1221000</v>
      </c>
      <c r="H80" s="21">
        <v>1221000</v>
      </c>
      <c r="I80" s="22">
        <f t="shared" si="17"/>
        <v>1221</v>
      </c>
      <c r="J80" s="31">
        <v>0.93679999999999997</v>
      </c>
      <c r="K80" s="32">
        <f t="shared" si="18"/>
        <v>1143.8327999999999</v>
      </c>
      <c r="L80" s="7"/>
      <c r="M80" s="1"/>
      <c r="N80" s="3" t="s">
        <v>127</v>
      </c>
      <c r="O80" s="211">
        <f>E97</f>
        <v>1564200</v>
      </c>
      <c r="P80" s="96">
        <f>O80/O82</f>
        <v>62568</v>
      </c>
      <c r="Q80" s="96">
        <f>P80*O83</f>
        <v>1501632</v>
      </c>
    </row>
    <row r="81" spans="3:18" x14ac:dyDescent="0.25">
      <c r="C81" s="39">
        <v>44768</v>
      </c>
      <c r="D81" s="52">
        <v>44797</v>
      </c>
      <c r="E81" s="46">
        <v>1624900</v>
      </c>
      <c r="F81" s="30">
        <v>7600</v>
      </c>
      <c r="G81" s="15">
        <f t="shared" si="16"/>
        <v>1617300</v>
      </c>
      <c r="H81" s="21">
        <v>1617300</v>
      </c>
      <c r="I81" s="22">
        <f t="shared" si="17"/>
        <v>1617.3</v>
      </c>
      <c r="J81" s="34">
        <v>0.93679999999999997</v>
      </c>
      <c r="K81" s="32">
        <f t="shared" si="18"/>
        <v>1515.08664</v>
      </c>
      <c r="L81" s="7"/>
      <c r="M81" s="1"/>
      <c r="N81" s="3" t="s">
        <v>128</v>
      </c>
      <c r="O81" s="211">
        <f>F97</f>
        <v>6200</v>
      </c>
      <c r="P81" s="96">
        <f>O81/O82</f>
        <v>248</v>
      </c>
      <c r="Q81" s="96">
        <f>P81*O83</f>
        <v>5952</v>
      </c>
    </row>
    <row r="82" spans="3:18" x14ac:dyDescent="0.25">
      <c r="C82" s="39">
        <v>44797</v>
      </c>
      <c r="D82" s="52">
        <v>44828</v>
      </c>
      <c r="E82" s="46">
        <v>1824500</v>
      </c>
      <c r="F82" s="14">
        <v>8400</v>
      </c>
      <c r="G82" s="15">
        <f t="shared" si="16"/>
        <v>1816100</v>
      </c>
      <c r="H82" s="21">
        <v>1816100</v>
      </c>
      <c r="I82" s="22">
        <f t="shared" si="17"/>
        <v>1816.1</v>
      </c>
      <c r="J82" s="31">
        <v>0.93679999999999997</v>
      </c>
      <c r="K82" s="32">
        <f t="shared" si="18"/>
        <v>1701.3224799999998</v>
      </c>
      <c r="L82" s="7"/>
      <c r="M82" s="1"/>
      <c r="N82" s="3" t="s">
        <v>129</v>
      </c>
      <c r="O82" s="3">
        <f>D97-C97</f>
        <v>25</v>
      </c>
      <c r="P82" s="3"/>
      <c r="Q82" s="3"/>
    </row>
    <row r="83" spans="3:18" x14ac:dyDescent="0.25">
      <c r="C83" s="38">
        <v>44828</v>
      </c>
      <c r="D83" s="51">
        <v>44860</v>
      </c>
      <c r="E83" s="46">
        <v>1887500</v>
      </c>
      <c r="F83" s="30">
        <v>9300</v>
      </c>
      <c r="G83" s="15">
        <f t="shared" si="16"/>
        <v>1878200</v>
      </c>
      <c r="H83" s="21">
        <v>1878200</v>
      </c>
      <c r="I83" s="22">
        <f t="shared" si="17"/>
        <v>1878.2</v>
      </c>
      <c r="J83" s="31">
        <v>0.93679999999999997</v>
      </c>
      <c r="K83" s="32">
        <f t="shared" si="18"/>
        <v>1759.49776</v>
      </c>
      <c r="L83" s="7"/>
      <c r="M83" s="1"/>
      <c r="N83" s="3" t="s">
        <v>130</v>
      </c>
      <c r="O83" s="3">
        <f>D98-C98</f>
        <v>24</v>
      </c>
      <c r="P83" s="3"/>
      <c r="Q83" s="3"/>
    </row>
    <row r="84" spans="3:18" x14ac:dyDescent="0.25">
      <c r="C84" s="39">
        <v>44860</v>
      </c>
      <c r="D84" s="52">
        <v>44894</v>
      </c>
      <c r="E84" s="46">
        <v>2477400</v>
      </c>
      <c r="F84" s="30">
        <v>10000</v>
      </c>
      <c r="G84" s="15">
        <f t="shared" si="16"/>
        <v>2467400</v>
      </c>
      <c r="H84" s="21">
        <v>2467400</v>
      </c>
      <c r="I84" s="22">
        <f t="shared" si="17"/>
        <v>2467.4</v>
      </c>
      <c r="J84" s="34">
        <v>0.93679999999999997</v>
      </c>
      <c r="K84" s="32">
        <f t="shared" si="18"/>
        <v>2311.4603200000001</v>
      </c>
      <c r="L84" s="7"/>
      <c r="N84" s="3"/>
      <c r="O84" s="3"/>
      <c r="P84" s="3"/>
      <c r="Q84" s="3"/>
    </row>
    <row r="85" spans="3:18" ht="15.75" thickBot="1" x14ac:dyDescent="0.3">
      <c r="C85" s="40">
        <v>44894</v>
      </c>
      <c r="D85" s="53">
        <v>44919</v>
      </c>
      <c r="E85" s="47">
        <v>1516900</v>
      </c>
      <c r="F85" s="30">
        <v>7300</v>
      </c>
      <c r="G85" s="15">
        <f t="shared" si="16"/>
        <v>1509600</v>
      </c>
      <c r="H85" s="33">
        <v>1509600</v>
      </c>
      <c r="I85" s="22">
        <f t="shared" si="17"/>
        <v>1509.6</v>
      </c>
      <c r="J85" s="41">
        <v>0.93679999999999997</v>
      </c>
      <c r="K85" s="42">
        <f t="shared" si="18"/>
        <v>1414.19328</v>
      </c>
      <c r="L85" s="7"/>
    </row>
    <row r="86" spans="3:18" ht="15.75" thickBot="1" x14ac:dyDescent="0.3">
      <c r="C86" s="330" t="s">
        <v>70</v>
      </c>
      <c r="D86" s="331"/>
      <c r="E86" s="48">
        <f>SUM(E77:E85)</f>
        <v>16216932</v>
      </c>
      <c r="F86" s="49">
        <f t="shared" ref="F86:I86" si="19">SUM(F77:F85)</f>
        <v>71252</v>
      </c>
      <c r="G86" s="50">
        <f t="shared" si="19"/>
        <v>16145680</v>
      </c>
      <c r="H86" s="49">
        <f t="shared" si="19"/>
        <v>16688600</v>
      </c>
      <c r="I86" s="49">
        <f t="shared" si="19"/>
        <v>16145.68</v>
      </c>
      <c r="J86" s="54">
        <v>0.93679999999999997</v>
      </c>
      <c r="K86" s="55">
        <f>ROUNDDOWN(I86*J86,0)</f>
        <v>15125</v>
      </c>
    </row>
    <row r="87" spans="3:18" x14ac:dyDescent="0.25">
      <c r="C87" s="38">
        <v>44919</v>
      </c>
      <c r="D87" s="51">
        <v>44951</v>
      </c>
      <c r="E87" s="37">
        <v>2212600</v>
      </c>
      <c r="F87" s="14">
        <v>9300</v>
      </c>
      <c r="G87" s="15">
        <f>E87-F87</f>
        <v>2203300</v>
      </c>
      <c r="H87" s="22">
        <v>2203300</v>
      </c>
      <c r="I87" s="22">
        <f>(MIN(G87,H87))/1000</f>
        <v>2203.3000000000002</v>
      </c>
      <c r="J87" s="35">
        <v>0.93679999999999997</v>
      </c>
      <c r="K87" s="36">
        <f>I87*J87</f>
        <v>2064.0514400000002</v>
      </c>
      <c r="L87" s="7"/>
    </row>
    <row r="88" spans="3:18" x14ac:dyDescent="0.25">
      <c r="C88" s="39">
        <v>44951</v>
      </c>
      <c r="D88" s="52">
        <v>44981</v>
      </c>
      <c r="E88" s="46">
        <v>2380500</v>
      </c>
      <c r="F88" s="30">
        <v>7900</v>
      </c>
      <c r="G88" s="15">
        <f t="shared" ref="G88:G92" si="20">E88-F88</f>
        <v>2372600</v>
      </c>
      <c r="H88" s="21">
        <v>2372600</v>
      </c>
      <c r="I88" s="22">
        <f t="shared" ref="I88:I92" si="21">(MIN(G88,H88))/1000</f>
        <v>2372.6</v>
      </c>
      <c r="J88" s="31">
        <v>0.93679999999999997</v>
      </c>
      <c r="K88" s="32">
        <f t="shared" ref="K88:K92" si="22">I88*J88</f>
        <v>2222.6516799999999</v>
      </c>
      <c r="L88" s="7"/>
    </row>
    <row r="89" spans="3:18" x14ac:dyDescent="0.25">
      <c r="C89" s="39">
        <v>44981</v>
      </c>
      <c r="D89" s="52">
        <v>45010</v>
      </c>
      <c r="E89" s="46">
        <v>2047500</v>
      </c>
      <c r="F89" s="30">
        <v>7300</v>
      </c>
      <c r="G89" s="15">
        <f t="shared" si="20"/>
        <v>2040200</v>
      </c>
      <c r="H89" s="21">
        <v>2040200</v>
      </c>
      <c r="I89" s="22">
        <f t="shared" si="21"/>
        <v>2040.2</v>
      </c>
      <c r="J89" s="31">
        <v>0.93679999999999997</v>
      </c>
      <c r="K89" s="32">
        <f t="shared" si="22"/>
        <v>1911.25936</v>
      </c>
      <c r="L89" s="7"/>
    </row>
    <row r="90" spans="3:18" x14ac:dyDescent="0.25">
      <c r="C90" s="52">
        <v>45010</v>
      </c>
      <c r="D90" s="38">
        <v>45017</v>
      </c>
      <c r="E90" s="46">
        <v>525500</v>
      </c>
      <c r="F90" s="30">
        <v>1600</v>
      </c>
      <c r="G90" s="15">
        <f t="shared" si="20"/>
        <v>523900</v>
      </c>
      <c r="H90" s="225">
        <v>523900</v>
      </c>
      <c r="I90" s="22">
        <f>(MIN(G90,H90))/1000</f>
        <v>523.9</v>
      </c>
      <c r="J90" s="31">
        <v>0.93679999999999997</v>
      </c>
      <c r="K90" s="32">
        <f t="shared" si="22"/>
        <v>490.78951999999998</v>
      </c>
      <c r="L90" s="7"/>
    </row>
    <row r="91" spans="3:18" x14ac:dyDescent="0.25">
      <c r="C91" s="38">
        <v>45017</v>
      </c>
      <c r="D91" s="51">
        <v>45047</v>
      </c>
      <c r="E91" s="46">
        <v>2074600</v>
      </c>
      <c r="F91" s="30">
        <v>6600</v>
      </c>
      <c r="G91" s="15">
        <f t="shared" si="20"/>
        <v>2068000</v>
      </c>
      <c r="H91" s="21">
        <v>2068000</v>
      </c>
      <c r="I91" s="22">
        <f t="shared" si="21"/>
        <v>2068</v>
      </c>
      <c r="J91" s="31">
        <v>0.93679999999999997</v>
      </c>
      <c r="K91" s="32">
        <f t="shared" si="22"/>
        <v>1937.3024</v>
      </c>
      <c r="L91" s="7"/>
    </row>
    <row r="92" spans="3:18" x14ac:dyDescent="0.25">
      <c r="C92" s="39">
        <v>45047</v>
      </c>
      <c r="D92" s="52">
        <v>45078</v>
      </c>
      <c r="E92" s="46">
        <v>2245400</v>
      </c>
      <c r="F92" s="30">
        <v>7400</v>
      </c>
      <c r="G92" s="15">
        <f t="shared" si="20"/>
        <v>2238000</v>
      </c>
      <c r="H92" s="21">
        <v>2238000</v>
      </c>
      <c r="I92" s="22">
        <f t="shared" si="21"/>
        <v>2238</v>
      </c>
      <c r="J92" s="31">
        <v>0.93679999999999997</v>
      </c>
      <c r="K92" s="32">
        <f t="shared" si="22"/>
        <v>2096.5583999999999</v>
      </c>
      <c r="L92" s="7"/>
    </row>
    <row r="93" spans="3:18" ht="15.75" thickBot="1" x14ac:dyDescent="0.3">
      <c r="C93" s="40">
        <v>45078</v>
      </c>
      <c r="D93" s="53">
        <v>45107</v>
      </c>
      <c r="E93" s="254">
        <f>E101</f>
        <v>1996166.6666666665</v>
      </c>
      <c r="F93" s="197">
        <f>F101</f>
        <v>6766.666666666667</v>
      </c>
      <c r="G93" s="190">
        <f>E93-F93</f>
        <v>1989399.9999999998</v>
      </c>
      <c r="H93" s="259">
        <v>2058000</v>
      </c>
      <c r="I93" s="22">
        <f>(MIN(G93,H93))/1000</f>
        <v>1989.3999999999999</v>
      </c>
      <c r="J93" s="41">
        <v>0.93679999999999997</v>
      </c>
      <c r="K93" s="42">
        <f>I93*J93</f>
        <v>1863.6699199999998</v>
      </c>
      <c r="L93" s="7"/>
    </row>
    <row r="94" spans="3:18" ht="15.75" thickBot="1" x14ac:dyDescent="0.3">
      <c r="C94" s="330" t="s">
        <v>71</v>
      </c>
      <c r="D94" s="331"/>
      <c r="E94" s="48">
        <f>SUM(E87:E93)</f>
        <v>13482266.666666666</v>
      </c>
      <c r="F94" s="62">
        <f>SUM(F87:F93)</f>
        <v>46866.666666666664</v>
      </c>
      <c r="G94" s="50">
        <f>SUM(G87:G93)</f>
        <v>13435400</v>
      </c>
      <c r="H94" s="62">
        <f>SUM(H87:H93)</f>
        <v>13504000</v>
      </c>
      <c r="I94" s="62">
        <f>SUM(I87:I93)</f>
        <v>13435.4</v>
      </c>
      <c r="J94" s="54">
        <v>0.93679999999999997</v>
      </c>
      <c r="K94" s="55">
        <f>ROUNDDOWN(I94*J94,0)</f>
        <v>12586</v>
      </c>
    </row>
    <row r="95" spans="3:18" ht="15.75" thickBot="1" x14ac:dyDescent="0.3">
      <c r="C95" s="345" t="s">
        <v>3</v>
      </c>
      <c r="D95" s="346"/>
      <c r="E95" s="76">
        <f>E94+E86</f>
        <v>29699198.666666664</v>
      </c>
      <c r="F95" s="77">
        <f>F86+F94</f>
        <v>118118.66666666666</v>
      </c>
      <c r="G95" s="78">
        <f>G94+G86</f>
        <v>29581080</v>
      </c>
      <c r="H95" s="58">
        <f>H94+H86</f>
        <v>30192600</v>
      </c>
      <c r="I95" s="58">
        <f>SUM(I86+I94)</f>
        <v>29581.08</v>
      </c>
      <c r="J95" s="59">
        <v>0.93679999999999997</v>
      </c>
      <c r="K95" s="60">
        <f>ROUNDDOWN(SUM(K86+K94),0)</f>
        <v>27711</v>
      </c>
    </row>
    <row r="96" spans="3:18" x14ac:dyDescent="0.25">
      <c r="C96" s="232"/>
      <c r="D96" s="233"/>
      <c r="E96" s="234"/>
      <c r="F96" s="207"/>
      <c r="G96" s="192"/>
      <c r="H96" s="193"/>
      <c r="I96" s="193"/>
      <c r="J96" s="194"/>
      <c r="K96" s="193"/>
      <c r="N96" s="306">
        <v>45078</v>
      </c>
      <c r="O96" s="307"/>
      <c r="P96" s="307"/>
      <c r="Q96" s="307"/>
      <c r="R96" s="308"/>
    </row>
    <row r="97" spans="3:18" x14ac:dyDescent="0.25">
      <c r="C97" s="201">
        <v>44651</v>
      </c>
      <c r="D97" s="201">
        <v>44676</v>
      </c>
      <c r="E97" s="220">
        <v>1564200</v>
      </c>
      <c r="F97" s="211">
        <v>6200</v>
      </c>
      <c r="G97" s="192"/>
      <c r="H97" s="193"/>
      <c r="I97" s="193"/>
      <c r="J97" s="194"/>
      <c r="K97" s="193"/>
      <c r="N97" s="5"/>
      <c r="O97" s="3"/>
      <c r="P97" s="3"/>
      <c r="Q97" s="3" t="s">
        <v>131</v>
      </c>
      <c r="R97" s="3" t="s">
        <v>139</v>
      </c>
    </row>
    <row r="98" spans="3:18" x14ac:dyDescent="0.25">
      <c r="C98" s="201">
        <v>44652</v>
      </c>
      <c r="D98" s="201">
        <v>44676</v>
      </c>
      <c r="E98" s="202">
        <f>Q80</f>
        <v>1501632</v>
      </c>
      <c r="F98" s="202">
        <f>Q81</f>
        <v>5952</v>
      </c>
      <c r="G98" s="192"/>
      <c r="H98" s="193"/>
      <c r="I98" s="193"/>
      <c r="J98" s="194"/>
      <c r="K98" s="193"/>
      <c r="N98" s="5"/>
      <c r="O98" s="3" t="s">
        <v>127</v>
      </c>
      <c r="P98" s="30">
        <v>2065000</v>
      </c>
      <c r="Q98" s="96">
        <f>P98/P100</f>
        <v>68833.333333333328</v>
      </c>
      <c r="R98" s="96">
        <f>Q98*P101</f>
        <v>1996166.6666666665</v>
      </c>
    </row>
    <row r="99" spans="3:18" x14ac:dyDescent="0.25">
      <c r="C99" s="191"/>
      <c r="D99" s="191"/>
      <c r="E99" s="192"/>
      <c r="F99" s="192"/>
      <c r="G99" s="192"/>
      <c r="H99" s="193"/>
      <c r="I99" s="193"/>
      <c r="J99" s="194"/>
      <c r="K99" s="193"/>
      <c r="N99" s="5"/>
      <c r="O99" s="3" t="s">
        <v>128</v>
      </c>
      <c r="P99" s="30">
        <v>7000</v>
      </c>
      <c r="Q99" s="96">
        <f>P99/P100</f>
        <v>233.33333333333334</v>
      </c>
      <c r="R99" s="96">
        <f>Q99*P101</f>
        <v>6766.666666666667</v>
      </c>
    </row>
    <row r="100" spans="3:18" x14ac:dyDescent="0.25">
      <c r="C100" s="201">
        <v>45078</v>
      </c>
      <c r="D100" s="201">
        <v>45108</v>
      </c>
      <c r="E100" s="188">
        <v>2065000</v>
      </c>
      <c r="F100" s="189">
        <v>7000</v>
      </c>
      <c r="H100" s="162"/>
      <c r="I100" s="162"/>
      <c r="J100" s="199"/>
      <c r="K100" s="162"/>
      <c r="N100" s="5"/>
      <c r="O100" s="3" t="s">
        <v>129</v>
      </c>
      <c r="P100" s="3">
        <f>D100-C100</f>
        <v>30</v>
      </c>
      <c r="Q100" s="3"/>
      <c r="R100" s="3"/>
    </row>
    <row r="101" spans="3:18" x14ac:dyDescent="0.25">
      <c r="C101" s="201">
        <v>45078</v>
      </c>
      <c r="D101" s="201">
        <v>45107</v>
      </c>
      <c r="E101" s="195">
        <f>R98</f>
        <v>1996166.6666666665</v>
      </c>
      <c r="F101" s="197">
        <f>R99</f>
        <v>6766.666666666667</v>
      </c>
      <c r="H101" s="162"/>
      <c r="I101" s="162"/>
      <c r="J101" s="199"/>
      <c r="K101" s="162"/>
      <c r="N101" s="5"/>
      <c r="O101" s="3" t="s">
        <v>130</v>
      </c>
      <c r="P101" s="3">
        <f>D101-C101</f>
        <v>29</v>
      </c>
      <c r="Q101" s="3"/>
      <c r="R101" s="3"/>
    </row>
    <row r="102" spans="3:18" x14ac:dyDescent="0.25">
      <c r="N102" s="5"/>
      <c r="O102" s="3"/>
      <c r="P102" s="3"/>
      <c r="Q102" s="3"/>
      <c r="R102" s="3"/>
    </row>
    <row r="103" spans="3:18" x14ac:dyDescent="0.25">
      <c r="C103" s="230"/>
      <c r="D103" s="230"/>
      <c r="E103" s="270"/>
      <c r="F103" s="270"/>
      <c r="G103" s="270"/>
    </row>
    <row r="104" spans="3:18" x14ac:dyDescent="0.25">
      <c r="C104" s="230"/>
      <c r="D104" s="230"/>
      <c r="E104" s="270"/>
      <c r="F104" s="270"/>
      <c r="G104" s="270"/>
    </row>
    <row r="105" spans="3:18" x14ac:dyDescent="0.25">
      <c r="C105" s="230"/>
      <c r="D105" s="230"/>
      <c r="E105" s="270"/>
      <c r="F105" s="270"/>
      <c r="G105" s="270"/>
    </row>
    <row r="106" spans="3:18" x14ac:dyDescent="0.25">
      <c r="C106" s="230"/>
      <c r="D106" s="230"/>
      <c r="E106" s="270"/>
      <c r="F106" s="270"/>
      <c r="G106" s="271"/>
    </row>
    <row r="107" spans="3:18" x14ac:dyDescent="0.25">
      <c r="C107" s="230"/>
      <c r="D107" s="230"/>
      <c r="E107" s="270"/>
      <c r="F107" s="270"/>
      <c r="G107" s="270"/>
    </row>
    <row r="108" spans="3:18" x14ac:dyDescent="0.25">
      <c r="C108" s="230"/>
      <c r="D108" s="230"/>
      <c r="E108" s="270"/>
      <c r="F108" s="270"/>
      <c r="G108" s="270"/>
    </row>
    <row r="109" spans="3:18" ht="15.75" thickBot="1" x14ac:dyDescent="0.3"/>
    <row r="110" spans="3:18" ht="16.5" customHeight="1" thickBot="1" x14ac:dyDescent="0.3">
      <c r="C110" s="324" t="s">
        <v>67</v>
      </c>
      <c r="D110" s="325"/>
      <c r="E110" s="324" t="s">
        <v>42</v>
      </c>
      <c r="F110" s="335"/>
      <c r="G110" s="336"/>
      <c r="H110" s="377" t="s">
        <v>86</v>
      </c>
      <c r="I110" s="378"/>
      <c r="J110" s="378"/>
      <c r="K110" s="379"/>
    </row>
    <row r="111" spans="3:18" ht="15.75" thickBot="1" x14ac:dyDescent="0.3">
      <c r="C111" s="326" t="s">
        <v>31</v>
      </c>
      <c r="D111" s="327"/>
      <c r="E111" s="332" t="s">
        <v>41</v>
      </c>
      <c r="F111" s="342"/>
      <c r="G111" s="343"/>
      <c r="H111" s="380"/>
      <c r="I111" s="381"/>
      <c r="J111" s="381"/>
      <c r="K111" s="382"/>
    </row>
    <row r="112" spans="3:18" ht="15.75" customHeight="1" thickBot="1" x14ac:dyDescent="0.3">
      <c r="C112" s="328" t="s">
        <v>74</v>
      </c>
      <c r="D112" s="329"/>
      <c r="E112" s="337" t="s">
        <v>87</v>
      </c>
      <c r="F112" s="338"/>
      <c r="G112" s="339"/>
      <c r="H112" s="64"/>
      <c r="I112" s="64"/>
      <c r="J112" s="64"/>
      <c r="K112" s="65"/>
    </row>
    <row r="113" spans="3:17" ht="30.75" thickBot="1" x14ac:dyDescent="0.3">
      <c r="C113" s="326" t="s">
        <v>0</v>
      </c>
      <c r="D113" s="327"/>
      <c r="E113" s="43" t="s">
        <v>72</v>
      </c>
      <c r="F113" s="44" t="s">
        <v>73</v>
      </c>
      <c r="G113" s="61" t="s">
        <v>64</v>
      </c>
      <c r="H113" s="272" t="s">
        <v>100</v>
      </c>
      <c r="I113" s="44" t="s">
        <v>69</v>
      </c>
      <c r="J113" s="44" t="s">
        <v>1</v>
      </c>
      <c r="K113" s="45" t="s">
        <v>2</v>
      </c>
    </row>
    <row r="114" spans="3:17" x14ac:dyDescent="0.25">
      <c r="C114" s="38">
        <v>44640</v>
      </c>
      <c r="D114" s="51">
        <v>44671</v>
      </c>
      <c r="E114" s="203">
        <f>E135</f>
        <v>1088679.1612903227</v>
      </c>
      <c r="F114" s="204">
        <f>F135</f>
        <v>4385.9354838709678</v>
      </c>
      <c r="G114" s="205">
        <f>E114-F114</f>
        <v>1084293.2258064516</v>
      </c>
      <c r="H114" s="22">
        <v>1769110</v>
      </c>
      <c r="I114" s="22">
        <f>((MIN(G114,H114))/1000)*20/32</f>
        <v>677.68326612903229</v>
      </c>
      <c r="J114" s="35">
        <v>0.93679999999999997</v>
      </c>
      <c r="K114" s="36">
        <f>I114*J114</f>
        <v>634.8536837096774</v>
      </c>
      <c r="L114" s="7"/>
    </row>
    <row r="115" spans="3:17" x14ac:dyDescent="0.25">
      <c r="C115" s="39">
        <v>44671</v>
      </c>
      <c r="D115" s="52">
        <v>44701</v>
      </c>
      <c r="E115" s="46">
        <v>1652646</v>
      </c>
      <c r="F115" s="30">
        <v>6504</v>
      </c>
      <c r="G115" s="15">
        <f t="shared" ref="G115:G122" si="23">E115-F115</f>
        <v>1646142</v>
      </c>
      <c r="H115" s="21">
        <v>1646142</v>
      </c>
      <c r="I115" s="22">
        <f t="shared" ref="I115:I122" si="24">(MIN(G115,H115))/1000</f>
        <v>1646.1420000000001</v>
      </c>
      <c r="J115" s="34">
        <v>0.93679999999999997</v>
      </c>
      <c r="K115" s="32">
        <f t="shared" ref="K115:K122" si="25">I115*J115</f>
        <v>1542.1058255999999</v>
      </c>
      <c r="L115" s="7"/>
      <c r="M115" s="1"/>
    </row>
    <row r="116" spans="3:17" x14ac:dyDescent="0.25">
      <c r="C116" s="38">
        <v>44701</v>
      </c>
      <c r="D116" s="51">
        <v>44732</v>
      </c>
      <c r="E116" s="46">
        <v>1966728</v>
      </c>
      <c r="F116" s="30">
        <v>6382</v>
      </c>
      <c r="G116" s="15">
        <f t="shared" si="23"/>
        <v>1960346</v>
      </c>
      <c r="H116" s="21">
        <v>1960346</v>
      </c>
      <c r="I116" s="22">
        <f t="shared" si="24"/>
        <v>1960.346</v>
      </c>
      <c r="J116" s="31">
        <v>0.93679999999999997</v>
      </c>
      <c r="K116" s="32">
        <f t="shared" si="25"/>
        <v>1836.4521327999998</v>
      </c>
      <c r="L116" s="7"/>
      <c r="M116" s="1"/>
    </row>
    <row r="117" spans="3:17" x14ac:dyDescent="0.25">
      <c r="C117" s="39">
        <v>44732</v>
      </c>
      <c r="D117" s="52">
        <v>44762</v>
      </c>
      <c r="E117" s="46">
        <v>1259267</v>
      </c>
      <c r="F117" s="30">
        <v>6451</v>
      </c>
      <c r="G117" s="15">
        <f t="shared" si="23"/>
        <v>1252816</v>
      </c>
      <c r="H117" s="21">
        <v>1252816</v>
      </c>
      <c r="I117" s="22">
        <f t="shared" si="24"/>
        <v>1252.816</v>
      </c>
      <c r="J117" s="31">
        <v>0.93679999999999997</v>
      </c>
      <c r="K117" s="32">
        <f t="shared" si="25"/>
        <v>1173.6380288</v>
      </c>
      <c r="L117" s="7"/>
      <c r="M117" s="1"/>
      <c r="N117" s="3"/>
      <c r="O117" s="3"/>
      <c r="P117" s="3" t="s">
        <v>131</v>
      </c>
      <c r="Q117" s="3" t="s">
        <v>135</v>
      </c>
    </row>
    <row r="118" spans="3:17" x14ac:dyDescent="0.25">
      <c r="C118" s="38">
        <v>44762</v>
      </c>
      <c r="D118" s="51">
        <v>44793</v>
      </c>
      <c r="E118" s="46">
        <v>1488071</v>
      </c>
      <c r="F118" s="30">
        <v>6712</v>
      </c>
      <c r="G118" s="15">
        <f t="shared" si="23"/>
        <v>1481359</v>
      </c>
      <c r="H118" s="21">
        <v>1481293</v>
      </c>
      <c r="I118" s="22">
        <f t="shared" si="24"/>
        <v>1481.2929999999999</v>
      </c>
      <c r="J118" s="34">
        <v>0.93679999999999997</v>
      </c>
      <c r="K118" s="32">
        <f t="shared" si="25"/>
        <v>1387.6752823999998</v>
      </c>
      <c r="L118" s="7"/>
      <c r="M118" s="1"/>
      <c r="N118" s="3" t="s">
        <v>127</v>
      </c>
      <c r="O118" s="30">
        <v>1776266</v>
      </c>
      <c r="P118" s="96">
        <f>O118/O120</f>
        <v>57298.903225806454</v>
      </c>
      <c r="Q118" s="96">
        <f>P118*O121</f>
        <v>1088679.1612903227</v>
      </c>
    </row>
    <row r="119" spans="3:17" x14ac:dyDescent="0.25">
      <c r="C119" s="39">
        <v>44793</v>
      </c>
      <c r="D119" s="52">
        <v>44824</v>
      </c>
      <c r="E119" s="46">
        <v>1611889</v>
      </c>
      <c r="F119" s="14">
        <v>6965</v>
      </c>
      <c r="G119" s="15">
        <f t="shared" si="23"/>
        <v>1604924</v>
      </c>
      <c r="H119" s="21">
        <v>1604877</v>
      </c>
      <c r="I119" s="22">
        <f t="shared" si="24"/>
        <v>1604.877</v>
      </c>
      <c r="J119" s="31">
        <v>0.93679999999999997</v>
      </c>
      <c r="K119" s="32">
        <f t="shared" si="25"/>
        <v>1503.4487735999999</v>
      </c>
      <c r="L119" s="7"/>
      <c r="M119" s="1"/>
      <c r="N119" s="3" t="s">
        <v>128</v>
      </c>
      <c r="O119" s="30">
        <v>7156</v>
      </c>
      <c r="P119" s="96">
        <f>O119/O120</f>
        <v>230.83870967741936</v>
      </c>
      <c r="Q119" s="96">
        <f>P119*O121</f>
        <v>4385.9354838709678</v>
      </c>
    </row>
    <row r="120" spans="3:17" x14ac:dyDescent="0.25">
      <c r="C120" s="38">
        <v>44824</v>
      </c>
      <c r="D120" s="51">
        <v>44854</v>
      </c>
      <c r="E120" s="46">
        <v>1379762</v>
      </c>
      <c r="F120" s="30">
        <v>7190</v>
      </c>
      <c r="G120" s="15">
        <f t="shared" si="23"/>
        <v>1372572</v>
      </c>
      <c r="H120" s="21">
        <v>1372512</v>
      </c>
      <c r="I120" s="22">
        <f t="shared" si="24"/>
        <v>1372.5119999999999</v>
      </c>
      <c r="J120" s="31">
        <v>0.93679999999999997</v>
      </c>
      <c r="K120" s="32">
        <f t="shared" si="25"/>
        <v>1285.7692416</v>
      </c>
      <c r="L120" s="7"/>
      <c r="M120" s="1"/>
      <c r="N120" s="3" t="s">
        <v>129</v>
      </c>
      <c r="O120" s="3">
        <f>D134-C134</f>
        <v>31</v>
      </c>
      <c r="P120" s="3"/>
      <c r="Q120" s="3"/>
    </row>
    <row r="121" spans="3:17" x14ac:dyDescent="0.25">
      <c r="C121" s="39">
        <v>44854</v>
      </c>
      <c r="D121" s="52">
        <v>44885</v>
      </c>
      <c r="E121" s="46">
        <v>1639202</v>
      </c>
      <c r="F121" s="30">
        <v>7545</v>
      </c>
      <c r="G121" s="15">
        <f t="shared" si="23"/>
        <v>1631657</v>
      </c>
      <c r="H121" s="21">
        <v>1631618</v>
      </c>
      <c r="I121" s="22">
        <f t="shared" si="24"/>
        <v>1631.6179999999999</v>
      </c>
      <c r="J121" s="34">
        <v>0.93679999999999997</v>
      </c>
      <c r="K121" s="32">
        <f t="shared" si="25"/>
        <v>1528.4997423999998</v>
      </c>
      <c r="L121" s="7"/>
      <c r="M121" s="1"/>
      <c r="N121" s="3" t="s">
        <v>130</v>
      </c>
      <c r="O121" s="3">
        <f>D135-C135</f>
        <v>19</v>
      </c>
      <c r="P121" s="3"/>
      <c r="Q121" s="3"/>
    </row>
    <row r="122" spans="3:17" ht="15.75" thickBot="1" x14ac:dyDescent="0.3">
      <c r="C122" s="38">
        <v>44885</v>
      </c>
      <c r="D122" s="51">
        <v>44915</v>
      </c>
      <c r="E122" s="47">
        <v>1301189</v>
      </c>
      <c r="F122" s="30">
        <v>7555</v>
      </c>
      <c r="G122" s="15">
        <f t="shared" si="23"/>
        <v>1293634</v>
      </c>
      <c r="H122" s="33">
        <v>1293584</v>
      </c>
      <c r="I122" s="22">
        <f t="shared" si="24"/>
        <v>1293.5840000000001</v>
      </c>
      <c r="J122" s="41">
        <v>0.93679999999999997</v>
      </c>
      <c r="K122" s="42">
        <f t="shared" si="25"/>
        <v>1211.8294912000001</v>
      </c>
      <c r="L122" s="7"/>
    </row>
    <row r="123" spans="3:17" ht="15.75" thickBot="1" x14ac:dyDescent="0.3">
      <c r="C123" s="330" t="s">
        <v>70</v>
      </c>
      <c r="D123" s="331"/>
      <c r="E123" s="48">
        <f>SUM(E114:E122)</f>
        <v>13387433.161290321</v>
      </c>
      <c r="F123" s="49">
        <f t="shared" ref="F123:I123" si="26">SUM(F114:F122)</f>
        <v>59689.93548387097</v>
      </c>
      <c r="G123" s="50">
        <f t="shared" si="26"/>
        <v>13327743.225806452</v>
      </c>
      <c r="H123" s="49">
        <f t="shared" si="26"/>
        <v>14012298</v>
      </c>
      <c r="I123" s="49">
        <f t="shared" si="26"/>
        <v>12920.871266129034</v>
      </c>
      <c r="J123" s="54">
        <v>0.93679999999999997</v>
      </c>
      <c r="K123" s="55">
        <f>ROUNDDOWN(I123*J123,0)</f>
        <v>12104</v>
      </c>
    </row>
    <row r="124" spans="3:17" x14ac:dyDescent="0.25">
      <c r="C124" s="38">
        <v>44915</v>
      </c>
      <c r="D124" s="51">
        <v>44946</v>
      </c>
      <c r="E124" s="37">
        <v>1738198</v>
      </c>
      <c r="F124" s="14">
        <v>7306</v>
      </c>
      <c r="G124" s="15">
        <f>E124-F124</f>
        <v>1730892</v>
      </c>
      <c r="H124" s="22">
        <v>1730802</v>
      </c>
      <c r="I124" s="22">
        <f>(MIN(G124,H124))/1000</f>
        <v>1730.8019999999999</v>
      </c>
      <c r="J124" s="35">
        <v>0.93679999999999997</v>
      </c>
      <c r="K124" s="36">
        <f>I124*J124</f>
        <v>1621.4153135999998</v>
      </c>
      <c r="L124" s="7"/>
    </row>
    <row r="125" spans="3:17" x14ac:dyDescent="0.25">
      <c r="C125" s="38">
        <v>44946</v>
      </c>
      <c r="D125" s="51">
        <v>44977</v>
      </c>
      <c r="E125" s="46">
        <v>1901423</v>
      </c>
      <c r="F125" s="30">
        <v>6769</v>
      </c>
      <c r="G125" s="15">
        <f t="shared" ref="G125:G130" si="27">E125-F125</f>
        <v>1894654</v>
      </c>
      <c r="H125" s="21">
        <v>1894576</v>
      </c>
      <c r="I125" s="22">
        <f t="shared" ref="I125:I130" si="28">(MIN(G125,H125))/1000</f>
        <v>1894.576</v>
      </c>
      <c r="J125" s="31">
        <v>0.93679999999999997</v>
      </c>
      <c r="K125" s="32">
        <f t="shared" ref="K125:K130" si="29">I125*J125</f>
        <v>1774.8387968</v>
      </c>
      <c r="L125" s="7"/>
    </row>
    <row r="126" spans="3:17" x14ac:dyDescent="0.25">
      <c r="C126" s="38">
        <v>44977</v>
      </c>
      <c r="D126" s="51">
        <v>45005</v>
      </c>
      <c r="E126" s="46">
        <v>1771811</v>
      </c>
      <c r="F126" s="30">
        <v>6022</v>
      </c>
      <c r="G126" s="15">
        <f t="shared" si="27"/>
        <v>1765789</v>
      </c>
      <c r="H126" s="21">
        <v>1765722</v>
      </c>
      <c r="I126" s="22">
        <f t="shared" si="28"/>
        <v>1765.722</v>
      </c>
      <c r="J126" s="31">
        <v>0.93679999999999997</v>
      </c>
      <c r="K126" s="32">
        <f t="shared" si="29"/>
        <v>1654.1283695999998</v>
      </c>
      <c r="L126" s="7"/>
    </row>
    <row r="127" spans="3:17" x14ac:dyDescent="0.25">
      <c r="C127" s="236">
        <v>45005</v>
      </c>
      <c r="D127" s="237">
        <v>45017</v>
      </c>
      <c r="E127" s="154">
        <v>878833</v>
      </c>
      <c r="F127" s="3">
        <v>2529</v>
      </c>
      <c r="G127" s="15">
        <f t="shared" si="27"/>
        <v>876304</v>
      </c>
      <c r="H127" s="21">
        <v>876270</v>
      </c>
      <c r="I127" s="22">
        <f t="shared" si="28"/>
        <v>876.27</v>
      </c>
      <c r="J127" s="31">
        <v>0.93679999999999997</v>
      </c>
      <c r="K127" s="32">
        <f t="shared" si="29"/>
        <v>820.88973599999997</v>
      </c>
      <c r="L127" s="7"/>
    </row>
    <row r="128" spans="3:17" x14ac:dyDescent="0.25">
      <c r="C128" s="236">
        <v>45017</v>
      </c>
      <c r="D128" s="237">
        <v>45047</v>
      </c>
      <c r="E128" s="154">
        <v>2026595</v>
      </c>
      <c r="F128" s="3">
        <v>6240</v>
      </c>
      <c r="G128" s="15">
        <f t="shared" si="27"/>
        <v>2020355</v>
      </c>
      <c r="H128" s="21">
        <v>2020280</v>
      </c>
      <c r="I128" s="22">
        <f t="shared" si="28"/>
        <v>2020.28</v>
      </c>
      <c r="J128" s="31">
        <v>0.93679999999999997</v>
      </c>
      <c r="K128" s="32">
        <f t="shared" si="29"/>
        <v>1892.5983039999999</v>
      </c>
      <c r="L128" s="7"/>
    </row>
    <row r="129" spans="3:17" x14ac:dyDescent="0.25">
      <c r="C129" s="236">
        <v>45047</v>
      </c>
      <c r="D129" s="237">
        <v>45078</v>
      </c>
      <c r="E129" s="186">
        <v>1968588</v>
      </c>
      <c r="F129" s="238">
        <v>6141</v>
      </c>
      <c r="G129" s="15">
        <f t="shared" si="27"/>
        <v>1962447</v>
      </c>
      <c r="H129" s="33">
        <v>1968373</v>
      </c>
      <c r="I129" s="22">
        <f t="shared" si="28"/>
        <v>1962.4469999999999</v>
      </c>
      <c r="J129" s="41">
        <v>0.93679999999999997</v>
      </c>
      <c r="K129" s="42">
        <f t="shared" si="29"/>
        <v>1838.4203495999998</v>
      </c>
      <c r="L129" s="7"/>
    </row>
    <row r="130" spans="3:17" ht="15.75" thickBot="1" x14ac:dyDescent="0.3">
      <c r="C130" s="38">
        <v>45078</v>
      </c>
      <c r="D130" s="51">
        <v>45107</v>
      </c>
      <c r="E130" s="258">
        <f>Q135</f>
        <v>1768971</v>
      </c>
      <c r="F130" s="202">
        <f>Q136</f>
        <v>5601.833333333333</v>
      </c>
      <c r="G130" s="200">
        <f t="shared" si="27"/>
        <v>1763369.1666666667</v>
      </c>
      <c r="H130" s="21">
        <v>1824107</v>
      </c>
      <c r="I130" s="22">
        <f t="shared" si="28"/>
        <v>1763.3691666666668</v>
      </c>
      <c r="J130" s="41">
        <v>0.93679999999999997</v>
      </c>
      <c r="K130" s="42">
        <f t="shared" si="29"/>
        <v>1651.9242353333334</v>
      </c>
      <c r="L130" s="7"/>
    </row>
    <row r="131" spans="3:17" ht="15.75" thickBot="1" x14ac:dyDescent="0.3">
      <c r="C131" s="330" t="s">
        <v>71</v>
      </c>
      <c r="D131" s="331"/>
      <c r="E131" s="48">
        <f>SUM(E124:E130)</f>
        <v>12054419</v>
      </c>
      <c r="F131" s="62">
        <f>SUM(F124:F130)</f>
        <v>40608.833333333336</v>
      </c>
      <c r="G131" s="62">
        <f>SUM(G124:G130)</f>
        <v>12013810.166666666</v>
      </c>
      <c r="H131" s="62">
        <f>SUM(H124:H130)</f>
        <v>12080130</v>
      </c>
      <c r="I131" s="62">
        <f>SUM(I124:I130)</f>
        <v>12013.466166666667</v>
      </c>
      <c r="J131" s="54">
        <v>0.93679999999999997</v>
      </c>
      <c r="K131" s="55">
        <f>ROUNDDOWN(I131*J131,0)</f>
        <v>11254</v>
      </c>
    </row>
    <row r="132" spans="3:17" ht="15.75" thickBot="1" x14ac:dyDescent="0.3">
      <c r="C132" s="345" t="s">
        <v>3</v>
      </c>
      <c r="D132" s="346"/>
      <c r="E132" s="76">
        <f>E131+E123</f>
        <v>25441852.161290321</v>
      </c>
      <c r="F132" s="77">
        <f>F123+F131</f>
        <v>100298.76881720431</v>
      </c>
      <c r="G132" s="78">
        <f>G131+G123</f>
        <v>25341553.392473117</v>
      </c>
      <c r="H132" s="58">
        <f>H131+H123</f>
        <v>26092428</v>
      </c>
      <c r="I132" s="58">
        <f>SUM(I123+I131)</f>
        <v>24934.337432795699</v>
      </c>
      <c r="J132" s="59">
        <v>0.93679999999999997</v>
      </c>
      <c r="K132" s="60">
        <f>ROUNDDOWN(SUM(K123+K131),0)</f>
        <v>23358</v>
      </c>
    </row>
    <row r="133" spans="3:17" x14ac:dyDescent="0.25">
      <c r="C133" s="191"/>
      <c r="D133" s="191"/>
      <c r="E133" s="192"/>
      <c r="F133" s="192"/>
      <c r="G133" s="192"/>
      <c r="H133" s="193"/>
      <c r="I133" s="193"/>
      <c r="J133" s="194"/>
      <c r="K133" s="193"/>
      <c r="M133" s="306">
        <v>45078</v>
      </c>
      <c r="N133" s="307"/>
      <c r="O133" s="307"/>
      <c r="P133" s="307"/>
      <c r="Q133" s="308"/>
    </row>
    <row r="134" spans="3:17" ht="12.75" customHeight="1" x14ac:dyDescent="0.25">
      <c r="C134" s="201">
        <v>44640</v>
      </c>
      <c r="D134" s="201">
        <v>44671</v>
      </c>
      <c r="E134" s="188">
        <v>1776266</v>
      </c>
      <c r="F134" s="189">
        <v>7156</v>
      </c>
      <c r="G134" s="192"/>
      <c r="H134" s="193"/>
      <c r="I134" s="193"/>
      <c r="J134" s="194"/>
      <c r="K134" s="193"/>
      <c r="M134" s="5"/>
      <c r="N134" s="3"/>
      <c r="O134" s="3"/>
      <c r="P134" s="3" t="s">
        <v>131</v>
      </c>
      <c r="Q134" s="3" t="s">
        <v>139</v>
      </c>
    </row>
    <row r="135" spans="3:17" ht="16.5" customHeight="1" x14ac:dyDescent="0.25">
      <c r="C135" s="201">
        <v>44652</v>
      </c>
      <c r="D135" s="201">
        <v>44671</v>
      </c>
      <c r="E135" s="202">
        <f>Q118</f>
        <v>1088679.1612903227</v>
      </c>
      <c r="F135" s="202">
        <f>Q119</f>
        <v>4385.9354838709678</v>
      </c>
      <c r="G135" s="192"/>
      <c r="H135" s="193"/>
      <c r="I135" s="193"/>
      <c r="J135" s="194"/>
      <c r="K135" s="193"/>
      <c r="M135" s="5"/>
      <c r="N135" s="3" t="s">
        <v>127</v>
      </c>
      <c r="O135" s="30">
        <v>1829970</v>
      </c>
      <c r="P135" s="96">
        <f>O135/O137</f>
        <v>60999</v>
      </c>
      <c r="Q135" s="96">
        <f>P135*O138</f>
        <v>1768971</v>
      </c>
    </row>
    <row r="136" spans="3:17" ht="16.5" customHeight="1" x14ac:dyDescent="0.25">
      <c r="C136" s="235"/>
      <c r="D136" s="235"/>
      <c r="E136" s="7"/>
      <c r="F136" s="7"/>
      <c r="G136" s="192"/>
      <c r="H136" s="193"/>
      <c r="I136" s="193"/>
      <c r="J136" s="194"/>
      <c r="K136" s="193"/>
      <c r="M136" s="5"/>
      <c r="N136" s="3" t="s">
        <v>128</v>
      </c>
      <c r="O136" s="30">
        <v>5795</v>
      </c>
      <c r="P136" s="96">
        <f>O136/O137</f>
        <v>193.16666666666666</v>
      </c>
      <c r="Q136" s="96">
        <f>P136*O138</f>
        <v>5601.833333333333</v>
      </c>
    </row>
    <row r="137" spans="3:17" ht="16.5" customHeight="1" x14ac:dyDescent="0.25">
      <c r="C137" s="201">
        <v>45078</v>
      </c>
      <c r="D137" s="201">
        <v>45108</v>
      </c>
      <c r="E137" s="188">
        <f>E140+E141</f>
        <v>1829970</v>
      </c>
      <c r="F137" s="189">
        <f>F140+F141</f>
        <v>5795</v>
      </c>
      <c r="G137" s="192"/>
      <c r="H137" s="193"/>
      <c r="I137" s="193"/>
      <c r="J137" s="194"/>
      <c r="K137" s="193"/>
      <c r="M137" s="5"/>
      <c r="N137" s="3" t="s">
        <v>129</v>
      </c>
      <c r="O137" s="3">
        <f>D137-C137</f>
        <v>30</v>
      </c>
      <c r="P137" s="3"/>
      <c r="Q137" s="3"/>
    </row>
    <row r="138" spans="3:17" x14ac:dyDescent="0.25">
      <c r="C138" s="201">
        <v>45078</v>
      </c>
      <c r="D138" s="201">
        <v>45107</v>
      </c>
      <c r="E138" s="195">
        <f>Q135</f>
        <v>1768971</v>
      </c>
      <c r="F138" s="197">
        <f>Q136</f>
        <v>5601.833333333333</v>
      </c>
      <c r="G138" s="192"/>
      <c r="H138" s="193"/>
      <c r="I138" s="193"/>
      <c r="J138" s="194"/>
      <c r="K138" s="193"/>
      <c r="M138" s="5"/>
      <c r="N138" s="3" t="s">
        <v>130</v>
      </c>
      <c r="O138" s="3">
        <f>D138-C138</f>
        <v>29</v>
      </c>
      <c r="P138" s="3"/>
      <c r="Q138" s="3"/>
    </row>
    <row r="139" spans="3:17" ht="15.75" thickBot="1" x14ac:dyDescent="0.3">
      <c r="C139" s="25"/>
      <c r="M139" s="5"/>
      <c r="N139" s="3"/>
      <c r="O139" s="3"/>
      <c r="P139" s="3"/>
      <c r="Q139" s="3"/>
    </row>
    <row r="140" spans="3:17" x14ac:dyDescent="0.25">
      <c r="C140" s="69">
        <v>45078</v>
      </c>
      <c r="D140" s="70">
        <v>45103</v>
      </c>
      <c r="E140" s="46">
        <v>1603282</v>
      </c>
      <c r="F140" s="30">
        <v>4885</v>
      </c>
    </row>
    <row r="141" spans="3:17" ht="15.75" thickBot="1" x14ac:dyDescent="0.3">
      <c r="C141" s="166">
        <v>45103</v>
      </c>
      <c r="D141" s="75">
        <v>45108</v>
      </c>
      <c r="E141" s="46">
        <v>226688</v>
      </c>
      <c r="F141" s="30">
        <v>910</v>
      </c>
    </row>
    <row r="142" spans="3:17" ht="15.75" thickBot="1" x14ac:dyDescent="0.3"/>
    <row r="143" spans="3:17" ht="16.5" customHeight="1" thickBot="1" x14ac:dyDescent="0.3">
      <c r="C143" s="324" t="s">
        <v>67</v>
      </c>
      <c r="D143" s="325"/>
      <c r="E143" s="324" t="s">
        <v>40</v>
      </c>
      <c r="F143" s="335"/>
      <c r="G143" s="336"/>
      <c r="H143" s="377" t="s">
        <v>86</v>
      </c>
      <c r="I143" s="378"/>
      <c r="J143" s="378"/>
      <c r="K143" s="379"/>
    </row>
    <row r="144" spans="3:17" ht="15.75" thickBot="1" x14ac:dyDescent="0.3">
      <c r="C144" s="326" t="s">
        <v>31</v>
      </c>
      <c r="D144" s="327"/>
      <c r="E144" s="332" t="s">
        <v>29</v>
      </c>
      <c r="F144" s="342"/>
      <c r="G144" s="343"/>
      <c r="H144" s="380"/>
      <c r="I144" s="381"/>
      <c r="J144" s="381"/>
      <c r="K144" s="382"/>
    </row>
    <row r="145" spans="3:18" ht="15.75" customHeight="1" thickBot="1" x14ac:dyDescent="0.3">
      <c r="C145" s="328" t="s">
        <v>74</v>
      </c>
      <c r="D145" s="329"/>
      <c r="E145" s="337" t="s">
        <v>87</v>
      </c>
      <c r="F145" s="338"/>
      <c r="G145" s="339"/>
      <c r="H145" s="64"/>
      <c r="I145" s="64"/>
      <c r="J145" s="64"/>
      <c r="K145" s="65"/>
    </row>
    <row r="146" spans="3:18" ht="30.75" thickBot="1" x14ac:dyDescent="0.3">
      <c r="C146" s="326" t="s">
        <v>0</v>
      </c>
      <c r="D146" s="327"/>
      <c r="E146" s="43" t="s">
        <v>72</v>
      </c>
      <c r="F146" s="44" t="s">
        <v>73</v>
      </c>
      <c r="G146" s="61" t="s">
        <v>64</v>
      </c>
      <c r="H146" s="272" t="s">
        <v>100</v>
      </c>
      <c r="I146" s="44" t="s">
        <v>69</v>
      </c>
      <c r="J146" s="44" t="s">
        <v>1</v>
      </c>
      <c r="K146" s="45" t="s">
        <v>2</v>
      </c>
    </row>
    <row r="147" spans="3:18" x14ac:dyDescent="0.25">
      <c r="C147" s="38">
        <v>44652</v>
      </c>
      <c r="D147" s="51">
        <v>44676</v>
      </c>
      <c r="E147" s="195">
        <f>E168</f>
        <v>1948067.7419354836</v>
      </c>
      <c r="F147" s="197">
        <f>F168</f>
        <v>9448.3870967741932</v>
      </c>
      <c r="G147" s="231">
        <f>E147-F147</f>
        <v>1938619.3548387093</v>
      </c>
      <c r="H147" s="22">
        <v>2404444</v>
      </c>
      <c r="I147" s="22">
        <f>(MIN(G147,H147))/1000</f>
        <v>1938.6193548387093</v>
      </c>
      <c r="J147" s="35">
        <v>0.93679999999999997</v>
      </c>
      <c r="K147" s="36">
        <f>I147*J147</f>
        <v>1816.0986116129029</v>
      </c>
      <c r="L147" s="7"/>
      <c r="N147" s="1"/>
    </row>
    <row r="148" spans="3:18" x14ac:dyDescent="0.25">
      <c r="C148" s="38">
        <v>44676</v>
      </c>
      <c r="D148" s="51">
        <v>44706</v>
      </c>
      <c r="E148" s="46">
        <v>2231375</v>
      </c>
      <c r="F148" s="30">
        <v>10996</v>
      </c>
      <c r="G148" s="15">
        <f t="shared" ref="G148:G155" si="30">E148-F148</f>
        <v>2220379</v>
      </c>
      <c r="H148" s="225">
        <v>2220575</v>
      </c>
      <c r="I148" s="22">
        <f t="shared" ref="I148:I155" si="31">(MIN(G148,H148))/1000</f>
        <v>2220.3789999999999</v>
      </c>
      <c r="J148" s="34">
        <v>0.93679999999999997</v>
      </c>
      <c r="K148" s="32">
        <f t="shared" ref="K148:K155" si="32">I148*J148</f>
        <v>2080.0510471999996</v>
      </c>
      <c r="L148" s="7"/>
      <c r="N148" s="1"/>
    </row>
    <row r="149" spans="3:18" x14ac:dyDescent="0.25">
      <c r="C149" s="38">
        <v>44706</v>
      </c>
      <c r="D149" s="51">
        <v>44737</v>
      </c>
      <c r="E149" s="46">
        <v>2426594</v>
      </c>
      <c r="F149" s="30">
        <v>11194</v>
      </c>
      <c r="G149" s="15">
        <f t="shared" si="30"/>
        <v>2415400</v>
      </c>
      <c r="H149" s="21">
        <v>2415434</v>
      </c>
      <c r="I149" s="22">
        <f t="shared" si="31"/>
        <v>2415.4</v>
      </c>
      <c r="J149" s="31">
        <v>0.93679999999999997</v>
      </c>
      <c r="K149" s="32">
        <f t="shared" si="32"/>
        <v>2262.7467200000001</v>
      </c>
      <c r="L149" s="7"/>
      <c r="N149" s="1"/>
      <c r="Q149" s="24" t="s">
        <v>131</v>
      </c>
      <c r="R149" s="24" t="s">
        <v>132</v>
      </c>
    </row>
    <row r="150" spans="3:18" x14ac:dyDescent="0.25">
      <c r="C150" s="38">
        <v>44737</v>
      </c>
      <c r="D150" s="51">
        <v>44767</v>
      </c>
      <c r="E150" s="46">
        <v>1483778</v>
      </c>
      <c r="F150" s="30">
        <v>11051</v>
      </c>
      <c r="G150" s="15">
        <f t="shared" si="30"/>
        <v>1472727</v>
      </c>
      <c r="H150" s="21">
        <v>1472978</v>
      </c>
      <c r="I150" s="22">
        <f t="shared" si="31"/>
        <v>1472.7270000000001</v>
      </c>
      <c r="J150" s="31">
        <v>0.93679999999999997</v>
      </c>
      <c r="K150" s="32">
        <f t="shared" si="32"/>
        <v>1379.6506535999999</v>
      </c>
      <c r="L150" s="7"/>
      <c r="N150" s="1"/>
      <c r="O150" s="24" t="s">
        <v>127</v>
      </c>
      <c r="P150" s="37">
        <v>2415604</v>
      </c>
      <c r="Q150" s="7">
        <f>P150/P152</f>
        <v>77922.709677419349</v>
      </c>
      <c r="R150" s="7">
        <f>Q150*P153</f>
        <v>1948067.7419354836</v>
      </c>
    </row>
    <row r="151" spans="3:18" x14ac:dyDescent="0.25">
      <c r="C151" s="38">
        <v>44767</v>
      </c>
      <c r="D151" s="51">
        <v>44798</v>
      </c>
      <c r="E151" s="46">
        <v>2049145</v>
      </c>
      <c r="F151" s="30">
        <v>11419</v>
      </c>
      <c r="G151" s="15">
        <f t="shared" si="30"/>
        <v>2037726</v>
      </c>
      <c r="H151" s="225">
        <v>2037985</v>
      </c>
      <c r="I151" s="22">
        <f t="shared" si="31"/>
        <v>2037.7260000000001</v>
      </c>
      <c r="J151" s="34">
        <v>0.93679999999999997</v>
      </c>
      <c r="K151" s="32">
        <f t="shared" si="32"/>
        <v>1908.9417168</v>
      </c>
      <c r="L151" s="7"/>
      <c r="N151" s="1"/>
      <c r="O151" s="24" t="s">
        <v>128</v>
      </c>
      <c r="P151" s="14">
        <v>11716</v>
      </c>
      <c r="Q151" s="7">
        <f>P151/P152</f>
        <v>377.93548387096774</v>
      </c>
      <c r="R151" s="7">
        <f>Q151*P153</f>
        <v>9448.3870967741932</v>
      </c>
    </row>
    <row r="152" spans="3:18" x14ac:dyDescent="0.25">
      <c r="C152" s="38">
        <v>44798</v>
      </c>
      <c r="D152" s="51">
        <v>44829</v>
      </c>
      <c r="E152" s="46">
        <v>2070261</v>
      </c>
      <c r="F152" s="14">
        <v>11389</v>
      </c>
      <c r="G152" s="15">
        <f t="shared" si="30"/>
        <v>2058872</v>
      </c>
      <c r="H152" s="21">
        <v>2059101</v>
      </c>
      <c r="I152" s="22">
        <f t="shared" si="31"/>
        <v>2058.8719999999998</v>
      </c>
      <c r="J152" s="31">
        <v>0.93679999999999997</v>
      </c>
      <c r="K152" s="32">
        <f t="shared" si="32"/>
        <v>1928.7512895999998</v>
      </c>
      <c r="L152" s="7"/>
      <c r="N152" s="1"/>
      <c r="O152" s="24" t="s">
        <v>129</v>
      </c>
      <c r="P152" s="24">
        <f>D167-C167</f>
        <v>31</v>
      </c>
    </row>
    <row r="153" spans="3:18" x14ac:dyDescent="0.25">
      <c r="C153" s="38">
        <v>44829</v>
      </c>
      <c r="D153" s="51">
        <v>44859</v>
      </c>
      <c r="E153" s="46">
        <v>1826813</v>
      </c>
      <c r="F153" s="30">
        <v>11826</v>
      </c>
      <c r="G153" s="15">
        <f t="shared" si="30"/>
        <v>1814987</v>
      </c>
      <c r="H153" s="21">
        <v>1816013</v>
      </c>
      <c r="I153" s="22">
        <f t="shared" si="31"/>
        <v>1814.9870000000001</v>
      </c>
      <c r="J153" s="31">
        <v>0.93679999999999997</v>
      </c>
      <c r="K153" s="32">
        <f t="shared" si="32"/>
        <v>1700.2798216000001</v>
      </c>
      <c r="L153" s="7"/>
      <c r="N153" s="1"/>
      <c r="O153" s="24" t="s">
        <v>130</v>
      </c>
      <c r="P153" s="24">
        <f>D168-C168+1</f>
        <v>25</v>
      </c>
    </row>
    <row r="154" spans="3:18" x14ac:dyDescent="0.25">
      <c r="C154" s="38">
        <v>44859</v>
      </c>
      <c r="D154" s="51">
        <v>44890</v>
      </c>
      <c r="E154" s="46">
        <v>2101715</v>
      </c>
      <c r="F154" s="30">
        <v>11992</v>
      </c>
      <c r="G154" s="15">
        <f t="shared" si="30"/>
        <v>2089723</v>
      </c>
      <c r="H154" s="21">
        <v>2090555</v>
      </c>
      <c r="I154" s="22">
        <f t="shared" si="31"/>
        <v>2089.723</v>
      </c>
      <c r="J154" s="34">
        <v>0.93679999999999997</v>
      </c>
      <c r="K154" s="32">
        <f t="shared" si="32"/>
        <v>1957.6525064</v>
      </c>
      <c r="L154" s="7"/>
    </row>
    <row r="155" spans="3:18" ht="15.75" thickBot="1" x14ac:dyDescent="0.3">
      <c r="C155" s="38">
        <v>44890</v>
      </c>
      <c r="D155" s="51">
        <v>44920</v>
      </c>
      <c r="E155" s="47">
        <v>1835322</v>
      </c>
      <c r="F155" s="30">
        <v>11899</v>
      </c>
      <c r="G155" s="15">
        <f t="shared" si="30"/>
        <v>1823423</v>
      </c>
      <c r="H155" s="33">
        <v>1824522</v>
      </c>
      <c r="I155" s="22">
        <f t="shared" si="31"/>
        <v>1823.423</v>
      </c>
      <c r="J155" s="41">
        <v>0.93679999999999997</v>
      </c>
      <c r="K155" s="42">
        <f t="shared" si="32"/>
        <v>1708.1826664</v>
      </c>
      <c r="L155" s="7"/>
    </row>
    <row r="156" spans="3:18" ht="15.75" thickBot="1" x14ac:dyDescent="0.3">
      <c r="C156" s="330" t="s">
        <v>70</v>
      </c>
      <c r="D156" s="331"/>
      <c r="E156" s="48">
        <f>SUM(E147:E155)</f>
        <v>17973070.741935484</v>
      </c>
      <c r="F156" s="49">
        <f t="shared" ref="F156:I156" si="33">SUM(F147:F155)</f>
        <v>101214.3870967742</v>
      </c>
      <c r="G156" s="50">
        <f t="shared" si="33"/>
        <v>17871856.35483871</v>
      </c>
      <c r="H156" s="49">
        <f t="shared" si="33"/>
        <v>18341607</v>
      </c>
      <c r="I156" s="49">
        <f t="shared" si="33"/>
        <v>17871.85635483871</v>
      </c>
      <c r="J156" s="54">
        <v>0.93679999999999997</v>
      </c>
      <c r="K156" s="55">
        <f>ROUNDDOWN(I156*J156,0)</f>
        <v>16742</v>
      </c>
    </row>
    <row r="157" spans="3:18" x14ac:dyDescent="0.25">
      <c r="C157" s="38">
        <v>44920</v>
      </c>
      <c r="D157" s="51">
        <v>44951</v>
      </c>
      <c r="E157" s="37">
        <v>2293223</v>
      </c>
      <c r="F157" s="14">
        <v>11983</v>
      </c>
      <c r="G157" s="15">
        <f>E157-F157</f>
        <v>2281240</v>
      </c>
      <c r="H157" s="22">
        <v>2282063</v>
      </c>
      <c r="I157" s="22">
        <f>(MIN(G157,H157))/1000</f>
        <v>2281.2399999999998</v>
      </c>
      <c r="J157" s="35">
        <v>0.93679999999999997</v>
      </c>
      <c r="K157" s="36">
        <f>I157*J157</f>
        <v>2137.0656319999998</v>
      </c>
      <c r="L157" s="7"/>
    </row>
    <row r="158" spans="3:18" x14ac:dyDescent="0.25">
      <c r="C158" s="39">
        <v>44951</v>
      </c>
      <c r="D158" s="52">
        <v>44982</v>
      </c>
      <c r="E158" s="46">
        <v>2549494</v>
      </c>
      <c r="F158" s="30">
        <v>11202</v>
      </c>
      <c r="G158" s="15">
        <f t="shared" ref="G158:G162" si="34">E158-F158</f>
        <v>2538292</v>
      </c>
      <c r="H158" s="21">
        <v>2538334</v>
      </c>
      <c r="I158" s="22">
        <f t="shared" ref="I158:I162" si="35">(MIN(G158,H158))/1000</f>
        <v>2538.2919999999999</v>
      </c>
      <c r="J158" s="31">
        <v>0.93679999999999997</v>
      </c>
      <c r="K158" s="32">
        <f t="shared" ref="K158:K163" si="36">I158*J158</f>
        <v>2377.8719455999999</v>
      </c>
      <c r="L158" s="7"/>
    </row>
    <row r="159" spans="3:18" x14ac:dyDescent="0.25">
      <c r="C159" s="38">
        <v>44982</v>
      </c>
      <c r="D159" s="51">
        <v>45010</v>
      </c>
      <c r="E159" s="46">
        <v>2321923</v>
      </c>
      <c r="F159" s="30">
        <v>9768</v>
      </c>
      <c r="G159" s="15">
        <f t="shared" si="34"/>
        <v>2312155</v>
      </c>
      <c r="H159" s="21">
        <v>2311843</v>
      </c>
      <c r="I159" s="22">
        <f t="shared" si="35"/>
        <v>2311.8429999999998</v>
      </c>
      <c r="J159" s="31">
        <v>0.93679999999999997</v>
      </c>
      <c r="K159" s="32">
        <f t="shared" si="36"/>
        <v>2165.7345223999996</v>
      </c>
      <c r="L159" s="7"/>
    </row>
    <row r="160" spans="3:18" x14ac:dyDescent="0.25">
      <c r="C160" s="39">
        <v>45010</v>
      </c>
      <c r="D160" s="52">
        <v>45020</v>
      </c>
      <c r="E160" s="46">
        <v>958911</v>
      </c>
      <c r="F160" s="30">
        <v>3464</v>
      </c>
      <c r="G160" s="15">
        <f t="shared" si="34"/>
        <v>955447</v>
      </c>
      <c r="H160" s="21">
        <v>1366273</v>
      </c>
      <c r="I160" s="22">
        <f t="shared" si="35"/>
        <v>955.447</v>
      </c>
      <c r="J160" s="31">
        <v>0.93679999999999997</v>
      </c>
      <c r="K160" s="32">
        <f t="shared" si="36"/>
        <v>895.06274959999996</v>
      </c>
      <c r="L160" s="7"/>
    </row>
    <row r="161" spans="3:17" x14ac:dyDescent="0.25">
      <c r="C161" s="236">
        <v>45020</v>
      </c>
      <c r="D161" s="237">
        <v>45050</v>
      </c>
      <c r="E161" s="154">
        <v>2586268</v>
      </c>
      <c r="F161" s="3">
        <v>10526</v>
      </c>
      <c r="G161" s="15">
        <f t="shared" si="34"/>
        <v>2575742</v>
      </c>
      <c r="H161" s="21">
        <v>2575468</v>
      </c>
      <c r="I161" s="22">
        <f t="shared" si="35"/>
        <v>2575.4679999999998</v>
      </c>
      <c r="J161" s="31">
        <v>0.93679999999999997</v>
      </c>
      <c r="K161" s="32">
        <f t="shared" si="36"/>
        <v>2412.6984223999998</v>
      </c>
      <c r="L161" s="7"/>
    </row>
    <row r="162" spans="3:17" x14ac:dyDescent="0.25">
      <c r="C162" s="239">
        <v>45050</v>
      </c>
      <c r="D162" s="240">
        <v>45081</v>
      </c>
      <c r="E162" s="186">
        <v>2694485</v>
      </c>
      <c r="F162" s="238">
        <v>10370</v>
      </c>
      <c r="G162" s="15">
        <f t="shared" si="34"/>
        <v>2684115</v>
      </c>
      <c r="H162" s="33">
        <v>2683717</v>
      </c>
      <c r="I162" s="22">
        <f t="shared" si="35"/>
        <v>2683.7170000000001</v>
      </c>
      <c r="J162" s="41">
        <v>0.93679999999999997</v>
      </c>
      <c r="K162" s="42">
        <f t="shared" si="36"/>
        <v>2514.1060855999999</v>
      </c>
      <c r="L162" s="7"/>
    </row>
    <row r="163" spans="3:17" ht="15.75" thickBot="1" x14ac:dyDescent="0.3">
      <c r="C163" s="38">
        <v>45081</v>
      </c>
      <c r="D163" s="51">
        <v>45107</v>
      </c>
      <c r="E163" s="258">
        <f>E171</f>
        <v>2185443.8666666667</v>
      </c>
      <c r="F163" s="202">
        <f>F171</f>
        <v>9032.4</v>
      </c>
      <c r="G163" s="200">
        <f>E163-F163</f>
        <v>2176411.4666666668</v>
      </c>
      <c r="H163" s="225">
        <v>2510976</v>
      </c>
      <c r="I163" s="22">
        <f>(MIN(G163,H163))/1000</f>
        <v>2176.4114666666669</v>
      </c>
      <c r="J163" s="41">
        <v>0.93679999999999997</v>
      </c>
      <c r="K163" s="42">
        <f t="shared" si="36"/>
        <v>2038.8622619733335</v>
      </c>
      <c r="L163" s="7"/>
    </row>
    <row r="164" spans="3:17" ht="15.75" thickBot="1" x14ac:dyDescent="0.3">
      <c r="C164" s="330" t="s">
        <v>71</v>
      </c>
      <c r="D164" s="331"/>
      <c r="E164" s="48">
        <f>SUM(E157:E163)</f>
        <v>15589747.866666667</v>
      </c>
      <c r="F164" s="62">
        <f>SUM(F157:F163)</f>
        <v>66345.399999999994</v>
      </c>
      <c r="G164" s="50">
        <f>SUM(G157:G162)</f>
        <v>13346991</v>
      </c>
      <c r="H164" s="62">
        <f>SUM(H157:H163)</f>
        <v>16268674</v>
      </c>
      <c r="I164" s="62">
        <f>SUM(I157:I163)</f>
        <v>15522.418466666666</v>
      </c>
      <c r="J164" s="54">
        <v>0.93679999999999997</v>
      </c>
      <c r="K164" s="55">
        <f>ROUNDDOWN(I164*J164,0)</f>
        <v>14541</v>
      </c>
    </row>
    <row r="165" spans="3:17" ht="15.75" thickBot="1" x14ac:dyDescent="0.3">
      <c r="C165" s="345" t="s">
        <v>3</v>
      </c>
      <c r="D165" s="346"/>
      <c r="E165" s="76">
        <f>E164+E156</f>
        <v>33562818.608602151</v>
      </c>
      <c r="F165" s="90">
        <f>F156+F164</f>
        <v>167559.78709677421</v>
      </c>
      <c r="G165" s="91">
        <f>G164+G156</f>
        <v>31218847.35483871</v>
      </c>
      <c r="H165" s="58">
        <f>H164+H156</f>
        <v>34610281</v>
      </c>
      <c r="I165" s="58">
        <f>SUM(I156+I164)</f>
        <v>33394.274821505373</v>
      </c>
      <c r="J165" s="59">
        <v>0.93679999999999997</v>
      </c>
      <c r="K165" s="60">
        <f>ROUNDDOWN(SUM(K156+K164),0)</f>
        <v>31283</v>
      </c>
    </row>
    <row r="166" spans="3:17" x14ac:dyDescent="0.25">
      <c r="C166" s="191"/>
      <c r="D166" s="191"/>
      <c r="E166" s="192"/>
      <c r="F166" s="192"/>
      <c r="G166" s="192"/>
      <c r="H166" s="193"/>
      <c r="I166" s="193"/>
      <c r="J166" s="194"/>
      <c r="K166" s="193"/>
    </row>
    <row r="167" spans="3:17" x14ac:dyDescent="0.25">
      <c r="C167" s="201">
        <v>44645</v>
      </c>
      <c r="D167" s="201">
        <v>44676</v>
      </c>
      <c r="E167" s="37">
        <v>2415604</v>
      </c>
      <c r="F167" s="14">
        <v>11716</v>
      </c>
      <c r="G167" s="192"/>
      <c r="H167" s="193"/>
      <c r="I167" s="193"/>
      <c r="J167" s="194"/>
      <c r="K167" s="193"/>
      <c r="M167" s="376">
        <v>45078</v>
      </c>
      <c r="N167" s="302"/>
      <c r="O167" s="302"/>
      <c r="P167" s="302"/>
      <c r="Q167" s="302"/>
    </row>
    <row r="168" spans="3:17" ht="21" customHeight="1" x14ac:dyDescent="0.25">
      <c r="C168" s="201">
        <v>44652</v>
      </c>
      <c r="D168" s="201">
        <v>44676</v>
      </c>
      <c r="E168" s="202">
        <f>R150</f>
        <v>1948067.7419354836</v>
      </c>
      <c r="F168" s="202">
        <f>R151</f>
        <v>9448.3870967741932</v>
      </c>
      <c r="M168" s="5"/>
      <c r="N168" s="3"/>
      <c r="O168" s="3"/>
      <c r="P168" s="3" t="s">
        <v>131</v>
      </c>
      <c r="Q168" s="3" t="s">
        <v>139</v>
      </c>
    </row>
    <row r="169" spans="3:17" ht="21" customHeight="1" x14ac:dyDescent="0.25">
      <c r="C169" s="235"/>
      <c r="D169" s="235"/>
      <c r="E169" s="7"/>
      <c r="F169" s="7"/>
      <c r="M169" s="5"/>
      <c r="N169" s="3" t="s">
        <v>127</v>
      </c>
      <c r="O169" s="3">
        <v>2521666</v>
      </c>
      <c r="P169" s="96">
        <f>O169/O171</f>
        <v>84055.53333333334</v>
      </c>
      <c r="Q169" s="96">
        <f>P169*O172</f>
        <v>2185443.8666666667</v>
      </c>
    </row>
    <row r="170" spans="3:17" ht="21" customHeight="1" x14ac:dyDescent="0.25">
      <c r="C170" s="201">
        <v>45081</v>
      </c>
      <c r="D170" s="201">
        <v>45111</v>
      </c>
      <c r="E170" s="188">
        <f>E173+E174</f>
        <v>2521666</v>
      </c>
      <c r="F170" s="189">
        <f>F173+F174</f>
        <v>10422</v>
      </c>
      <c r="M170" s="5"/>
      <c r="N170" s="3" t="s">
        <v>128</v>
      </c>
      <c r="O170" s="3">
        <v>10422</v>
      </c>
      <c r="P170" s="96">
        <f>O170/O171</f>
        <v>347.4</v>
      </c>
      <c r="Q170" s="96">
        <f>P170*O172</f>
        <v>9032.4</v>
      </c>
    </row>
    <row r="171" spans="3:17" ht="21" customHeight="1" x14ac:dyDescent="0.25">
      <c r="C171" s="201">
        <v>45081</v>
      </c>
      <c r="D171" s="201">
        <v>45107</v>
      </c>
      <c r="E171" s="195">
        <f>Q169</f>
        <v>2185443.8666666667</v>
      </c>
      <c r="F171" s="197">
        <f>Q170</f>
        <v>9032.4</v>
      </c>
      <c r="M171" s="5"/>
      <c r="N171" s="3" t="s">
        <v>129</v>
      </c>
      <c r="O171" s="3">
        <f>D170-C170</f>
        <v>30</v>
      </c>
      <c r="P171" s="3"/>
      <c r="Q171" s="3"/>
    </row>
    <row r="172" spans="3:17" ht="15.75" customHeight="1" thickBot="1" x14ac:dyDescent="0.3">
      <c r="M172" s="5"/>
      <c r="N172" s="3" t="s">
        <v>130</v>
      </c>
      <c r="O172" s="3">
        <f>D171-C171</f>
        <v>26</v>
      </c>
      <c r="P172" s="3"/>
      <c r="Q172" s="3"/>
    </row>
    <row r="173" spans="3:17" ht="15.75" customHeight="1" x14ac:dyDescent="0.25">
      <c r="C173" s="69">
        <v>45081</v>
      </c>
      <c r="D173" s="70">
        <v>45104</v>
      </c>
      <c r="E173" s="46">
        <v>2015468</v>
      </c>
      <c r="F173" s="30">
        <v>8116</v>
      </c>
      <c r="M173" s="1"/>
    </row>
    <row r="174" spans="3:17" ht="15.75" customHeight="1" thickBot="1" x14ac:dyDescent="0.3">
      <c r="C174" s="166">
        <v>45104</v>
      </c>
      <c r="D174" s="75">
        <v>45111</v>
      </c>
      <c r="E174" s="46">
        <v>506198</v>
      </c>
      <c r="F174" s="30">
        <v>2306</v>
      </c>
      <c r="M174" s="1"/>
    </row>
    <row r="175" spans="3:17" ht="15.75" thickBot="1" x14ac:dyDescent="0.3">
      <c r="M175" s="1"/>
    </row>
    <row r="176" spans="3:17" ht="16.5" customHeight="1" thickBot="1" x14ac:dyDescent="0.3">
      <c r="C176" s="324" t="s">
        <v>67</v>
      </c>
      <c r="D176" s="325"/>
      <c r="E176" s="324" t="s">
        <v>45</v>
      </c>
      <c r="F176" s="335"/>
      <c r="G176" s="336"/>
      <c r="H176" s="377" t="s">
        <v>86</v>
      </c>
      <c r="I176" s="378"/>
      <c r="J176" s="378"/>
      <c r="K176" s="379"/>
    </row>
    <row r="177" spans="3:17" ht="15.75" thickBot="1" x14ac:dyDescent="0.3">
      <c r="C177" s="326" t="s">
        <v>31</v>
      </c>
      <c r="D177" s="327"/>
      <c r="E177" s="332" t="s">
        <v>29</v>
      </c>
      <c r="F177" s="342"/>
      <c r="G177" s="343"/>
      <c r="H177" s="380"/>
      <c r="I177" s="381"/>
      <c r="J177" s="381"/>
      <c r="K177" s="382"/>
    </row>
    <row r="178" spans="3:17" ht="15.75" customHeight="1" thickBot="1" x14ac:dyDescent="0.3">
      <c r="C178" s="328" t="s">
        <v>74</v>
      </c>
      <c r="D178" s="329"/>
      <c r="E178" s="337" t="s">
        <v>87</v>
      </c>
      <c r="F178" s="338"/>
      <c r="G178" s="339"/>
      <c r="H178" s="64"/>
      <c r="I178" s="64"/>
      <c r="J178" s="64"/>
      <c r="K178" s="65"/>
    </row>
    <row r="179" spans="3:17" ht="30.75" thickBot="1" x14ac:dyDescent="0.3">
      <c r="C179" s="326" t="s">
        <v>0</v>
      </c>
      <c r="D179" s="327"/>
      <c r="E179" s="43" t="s">
        <v>72</v>
      </c>
      <c r="F179" s="44" t="s">
        <v>73</v>
      </c>
      <c r="G179" s="61" t="s">
        <v>64</v>
      </c>
      <c r="H179" s="44" t="s">
        <v>100</v>
      </c>
      <c r="I179" s="44" t="s">
        <v>69</v>
      </c>
      <c r="J179" s="44" t="s">
        <v>1</v>
      </c>
      <c r="K179" s="45" t="s">
        <v>2</v>
      </c>
    </row>
    <row r="180" spans="3:17" x14ac:dyDescent="0.25">
      <c r="C180" s="38">
        <v>44652</v>
      </c>
      <c r="D180" s="51">
        <v>44676</v>
      </c>
      <c r="E180" s="195">
        <f>E201</f>
        <v>1523959.6774193549</v>
      </c>
      <c r="F180" s="197">
        <f>F201</f>
        <v>8088.7096774193551</v>
      </c>
      <c r="G180" s="200">
        <f>E180-F180</f>
        <v>1515870.9677419355</v>
      </c>
      <c r="H180" s="22">
        <v>1879680</v>
      </c>
      <c r="I180" s="22">
        <f>(MIN(G180,H180))/1000</f>
        <v>1515.8709677419356</v>
      </c>
      <c r="J180" s="35">
        <v>0.93679999999999997</v>
      </c>
      <c r="K180" s="36">
        <f>I180*J180</f>
        <v>1420.0679225806452</v>
      </c>
      <c r="M180" s="1"/>
    </row>
    <row r="181" spans="3:17" x14ac:dyDescent="0.25">
      <c r="C181" s="38">
        <v>44676</v>
      </c>
      <c r="D181" s="51">
        <v>44706</v>
      </c>
      <c r="E181" s="46">
        <v>1777130</v>
      </c>
      <c r="F181" s="30">
        <v>9640</v>
      </c>
      <c r="G181" s="15">
        <f t="shared" ref="G181:G188" si="37">E181-F181</f>
        <v>1767490</v>
      </c>
      <c r="H181" s="21">
        <v>1767490</v>
      </c>
      <c r="I181" s="22">
        <f t="shared" ref="I181:I188" si="38">(MIN(G181,H181))/1000</f>
        <v>1767.49</v>
      </c>
      <c r="J181" s="34">
        <v>0.93679999999999997</v>
      </c>
      <c r="K181" s="32">
        <f t="shared" ref="K181:K188" si="39">I181*J181</f>
        <v>1655.7846319999999</v>
      </c>
      <c r="M181" s="1"/>
      <c r="N181" s="3"/>
      <c r="O181" s="3"/>
      <c r="P181" s="3"/>
      <c r="Q181" s="3"/>
    </row>
    <row r="182" spans="3:17" x14ac:dyDescent="0.25">
      <c r="C182" s="38">
        <v>44706</v>
      </c>
      <c r="D182" s="51">
        <v>44737</v>
      </c>
      <c r="E182" s="46">
        <v>1937170</v>
      </c>
      <c r="F182" s="30">
        <v>9640</v>
      </c>
      <c r="G182" s="15">
        <f t="shared" si="37"/>
        <v>1927530</v>
      </c>
      <c r="H182" s="21">
        <v>1927530</v>
      </c>
      <c r="I182" s="22">
        <f t="shared" si="38"/>
        <v>1927.53</v>
      </c>
      <c r="J182" s="31">
        <v>0.93679999999999997</v>
      </c>
      <c r="K182" s="32">
        <f t="shared" si="39"/>
        <v>1805.710104</v>
      </c>
      <c r="M182" s="1"/>
      <c r="N182" s="3"/>
      <c r="O182" s="3"/>
      <c r="P182" s="3" t="s">
        <v>131</v>
      </c>
      <c r="Q182" s="3" t="s">
        <v>132</v>
      </c>
    </row>
    <row r="183" spans="3:17" x14ac:dyDescent="0.25">
      <c r="C183" s="38">
        <v>44737</v>
      </c>
      <c r="D183" s="51">
        <v>44767</v>
      </c>
      <c r="E183" s="46">
        <v>1170940</v>
      </c>
      <c r="F183" s="30">
        <v>10230</v>
      </c>
      <c r="G183" s="15">
        <f t="shared" si="37"/>
        <v>1160710</v>
      </c>
      <c r="H183" s="21">
        <v>1160710</v>
      </c>
      <c r="I183" s="22">
        <f t="shared" si="38"/>
        <v>1160.71</v>
      </c>
      <c r="J183" s="31">
        <v>0.93679999999999997</v>
      </c>
      <c r="K183" s="32">
        <f t="shared" si="39"/>
        <v>1087.353128</v>
      </c>
      <c r="M183" s="1"/>
      <c r="N183" s="3" t="s">
        <v>127</v>
      </c>
      <c r="O183" s="30">
        <v>1889710</v>
      </c>
      <c r="P183" s="96">
        <f>O183/O185</f>
        <v>60958.387096774197</v>
      </c>
      <c r="Q183" s="96">
        <f>P183*O186</f>
        <v>1523959.6774193549</v>
      </c>
    </row>
    <row r="184" spans="3:17" x14ac:dyDescent="0.25">
      <c r="C184" s="38">
        <v>44767</v>
      </c>
      <c r="D184" s="51">
        <v>44798</v>
      </c>
      <c r="E184" s="46">
        <v>1472570</v>
      </c>
      <c r="F184" s="30">
        <v>10450</v>
      </c>
      <c r="G184" s="15">
        <f t="shared" si="37"/>
        <v>1462120</v>
      </c>
      <c r="H184" s="21">
        <v>1462120</v>
      </c>
      <c r="I184" s="22">
        <f t="shared" si="38"/>
        <v>1462.12</v>
      </c>
      <c r="J184" s="34">
        <v>0.93679999999999997</v>
      </c>
      <c r="K184" s="32">
        <f t="shared" si="39"/>
        <v>1369.7140159999999</v>
      </c>
      <c r="M184" s="1"/>
      <c r="N184" s="3" t="s">
        <v>128</v>
      </c>
      <c r="O184" s="30">
        <v>10030</v>
      </c>
      <c r="P184" s="96">
        <f>O184/O185</f>
        <v>323.54838709677421</v>
      </c>
      <c r="Q184" s="96">
        <f>P184*O186</f>
        <v>8088.7096774193551</v>
      </c>
    </row>
    <row r="185" spans="3:17" x14ac:dyDescent="0.25">
      <c r="C185" s="38">
        <v>44798</v>
      </c>
      <c r="D185" s="51">
        <v>44829</v>
      </c>
      <c r="E185" s="46">
        <v>1544680</v>
      </c>
      <c r="F185" s="14">
        <v>11050</v>
      </c>
      <c r="G185" s="15">
        <f t="shared" si="37"/>
        <v>1533630</v>
      </c>
      <c r="H185" s="21">
        <v>1533630</v>
      </c>
      <c r="I185" s="22">
        <f t="shared" si="38"/>
        <v>1533.63</v>
      </c>
      <c r="J185" s="31">
        <v>0.93679999999999997</v>
      </c>
      <c r="K185" s="32">
        <f t="shared" si="39"/>
        <v>1436.7045840000001</v>
      </c>
      <c r="M185" s="1"/>
      <c r="N185" s="3" t="s">
        <v>129</v>
      </c>
      <c r="O185" s="96">
        <f>D200-C200</f>
        <v>31</v>
      </c>
      <c r="P185" s="3"/>
      <c r="Q185" s="3"/>
    </row>
    <row r="186" spans="3:17" x14ac:dyDescent="0.25">
      <c r="C186" s="38">
        <v>44829</v>
      </c>
      <c r="D186" s="51">
        <v>44859</v>
      </c>
      <c r="E186" s="46">
        <v>1281680</v>
      </c>
      <c r="F186" s="30">
        <v>28410</v>
      </c>
      <c r="G186" s="15">
        <f t="shared" si="37"/>
        <v>1253270</v>
      </c>
      <c r="H186" s="21">
        <v>1257090</v>
      </c>
      <c r="I186" s="22">
        <f t="shared" si="38"/>
        <v>1253.27</v>
      </c>
      <c r="J186" s="31">
        <v>0.93679999999999997</v>
      </c>
      <c r="K186" s="32">
        <f t="shared" si="39"/>
        <v>1174.0633359999999</v>
      </c>
      <c r="M186" s="1"/>
      <c r="N186" s="3" t="s">
        <v>130</v>
      </c>
      <c r="O186" s="3">
        <f>D201-C201+1</f>
        <v>25</v>
      </c>
      <c r="P186" s="3"/>
      <c r="Q186" s="3"/>
    </row>
    <row r="187" spans="3:17" x14ac:dyDescent="0.25">
      <c r="C187" s="38">
        <v>44859</v>
      </c>
      <c r="D187" s="51">
        <v>44890</v>
      </c>
      <c r="E187" s="46">
        <v>1850490</v>
      </c>
      <c r="F187" s="30">
        <v>11570</v>
      </c>
      <c r="G187" s="15">
        <f t="shared" si="37"/>
        <v>1838920</v>
      </c>
      <c r="H187" s="21">
        <v>1839330</v>
      </c>
      <c r="I187" s="22">
        <f t="shared" si="38"/>
        <v>1838.92</v>
      </c>
      <c r="J187" s="34">
        <v>0.93679999999999997</v>
      </c>
      <c r="K187" s="32">
        <f t="shared" si="39"/>
        <v>1722.7002560000001</v>
      </c>
    </row>
    <row r="188" spans="3:17" ht="15.75" thickBot="1" x14ac:dyDescent="0.3">
      <c r="C188" s="38">
        <v>44890</v>
      </c>
      <c r="D188" s="51">
        <v>44920</v>
      </c>
      <c r="E188" s="47">
        <v>1626680</v>
      </c>
      <c r="F188" s="30">
        <v>10980</v>
      </c>
      <c r="G188" s="15">
        <f t="shared" si="37"/>
        <v>1615700</v>
      </c>
      <c r="H188" s="33">
        <v>1615880</v>
      </c>
      <c r="I188" s="22">
        <f t="shared" si="38"/>
        <v>1615.7</v>
      </c>
      <c r="J188" s="41">
        <v>0.93679999999999997</v>
      </c>
      <c r="K188" s="42">
        <f t="shared" si="39"/>
        <v>1513.5877599999999</v>
      </c>
    </row>
    <row r="189" spans="3:17" ht="15.75" customHeight="1" thickBot="1" x14ac:dyDescent="0.3">
      <c r="C189" s="330" t="s">
        <v>70</v>
      </c>
      <c r="D189" s="331"/>
      <c r="E189" s="48">
        <f>SUM(E180:E188)</f>
        <v>14185299.677419355</v>
      </c>
      <c r="F189" s="62">
        <f t="shared" ref="F189:I189" si="40">SUM(F180:F188)</f>
        <v>110058.70967741936</v>
      </c>
      <c r="G189" s="85">
        <f t="shared" si="40"/>
        <v>14075240.967741936</v>
      </c>
      <c r="H189" s="49">
        <f t="shared" si="40"/>
        <v>14443460</v>
      </c>
      <c r="I189" s="62">
        <f t="shared" si="40"/>
        <v>14075.240967741936</v>
      </c>
      <c r="J189" s="54">
        <v>0.93679999999999997</v>
      </c>
      <c r="K189" s="55">
        <f>ROUNDDOWN(I189*J189,0)</f>
        <v>13185</v>
      </c>
    </row>
    <row r="190" spans="3:17" x14ac:dyDescent="0.25">
      <c r="C190" s="38">
        <v>44920</v>
      </c>
      <c r="D190" s="51">
        <v>44951</v>
      </c>
      <c r="E190" s="37">
        <v>2036890</v>
      </c>
      <c r="F190" s="14">
        <v>11850</v>
      </c>
      <c r="G190" s="15">
        <f>E190-F190</f>
        <v>2025040</v>
      </c>
      <c r="H190" s="22">
        <v>2025730</v>
      </c>
      <c r="I190" s="22">
        <f>(MIN(G190,H190))/1000</f>
        <v>2025.04</v>
      </c>
      <c r="J190" s="35">
        <v>0.93679999999999997</v>
      </c>
      <c r="K190" s="36">
        <f>I190*J190</f>
        <v>1897.057472</v>
      </c>
    </row>
    <row r="191" spans="3:17" x14ac:dyDescent="0.25">
      <c r="C191" s="39">
        <v>44951</v>
      </c>
      <c r="D191" s="52">
        <v>44982</v>
      </c>
      <c r="E191" s="46">
        <v>2305760</v>
      </c>
      <c r="F191" s="30">
        <v>10560</v>
      </c>
      <c r="G191" s="15">
        <f t="shared" ref="G191:G196" si="41">E191-F191</f>
        <v>2295200</v>
      </c>
      <c r="H191" s="21">
        <v>2295200</v>
      </c>
      <c r="I191" s="22">
        <f t="shared" ref="I191:I196" si="42">(MIN(G191,H191))/1000</f>
        <v>2295.1999999999998</v>
      </c>
      <c r="J191" s="31">
        <v>0.93679999999999997</v>
      </c>
      <c r="K191" s="32">
        <f t="shared" ref="K191:K196" si="43">I191*J191</f>
        <v>2150.1433599999996</v>
      </c>
    </row>
    <row r="192" spans="3:17" x14ac:dyDescent="0.25">
      <c r="C192" s="38">
        <v>44982</v>
      </c>
      <c r="D192" s="51">
        <v>45010</v>
      </c>
      <c r="E192" s="46">
        <v>2016170</v>
      </c>
      <c r="F192" s="30">
        <v>8990</v>
      </c>
      <c r="G192" s="15">
        <f t="shared" si="41"/>
        <v>2007180</v>
      </c>
      <c r="H192" s="21">
        <v>2007170</v>
      </c>
      <c r="I192" s="22">
        <f t="shared" si="42"/>
        <v>2007.17</v>
      </c>
      <c r="J192" s="31">
        <v>0.93679999999999997</v>
      </c>
      <c r="K192" s="32">
        <f t="shared" si="43"/>
        <v>1880.3168559999999</v>
      </c>
    </row>
    <row r="193" spans="3:17" x14ac:dyDescent="0.25">
      <c r="C193" s="38">
        <v>45010</v>
      </c>
      <c r="D193" s="51">
        <v>45019</v>
      </c>
      <c r="E193" s="46">
        <v>707060</v>
      </c>
      <c r="F193" s="30">
        <v>2780</v>
      </c>
      <c r="G193" s="15">
        <f t="shared" si="41"/>
        <v>704280</v>
      </c>
      <c r="H193" s="225">
        <v>704280</v>
      </c>
      <c r="I193" s="22">
        <f t="shared" si="42"/>
        <v>704.28</v>
      </c>
      <c r="J193" s="31">
        <v>0.93679999999999997</v>
      </c>
      <c r="K193" s="32">
        <f t="shared" si="43"/>
        <v>659.76950399999998</v>
      </c>
    </row>
    <row r="194" spans="3:17" x14ac:dyDescent="0.25">
      <c r="C194" s="236">
        <v>45019</v>
      </c>
      <c r="D194" s="237">
        <v>45048</v>
      </c>
      <c r="E194" s="154">
        <v>2060450</v>
      </c>
      <c r="F194" s="3">
        <v>8240</v>
      </c>
      <c r="G194" s="15">
        <f t="shared" si="41"/>
        <v>2052210</v>
      </c>
      <c r="H194" s="21">
        <v>2052210</v>
      </c>
      <c r="I194" s="22">
        <f t="shared" si="42"/>
        <v>2052.21</v>
      </c>
      <c r="J194" s="31">
        <v>0.93679999999999997</v>
      </c>
      <c r="K194" s="32">
        <f t="shared" si="43"/>
        <v>1922.5103280000001</v>
      </c>
    </row>
    <row r="195" spans="3:17" x14ac:dyDescent="0.25">
      <c r="C195" s="239">
        <v>45048</v>
      </c>
      <c r="D195" s="240">
        <v>45078</v>
      </c>
      <c r="E195" s="154">
        <v>2334800</v>
      </c>
      <c r="F195" s="3">
        <v>10270</v>
      </c>
      <c r="G195" s="15">
        <f t="shared" si="41"/>
        <v>2324530</v>
      </c>
      <c r="H195" s="21">
        <v>2324510</v>
      </c>
      <c r="I195" s="22">
        <f t="shared" si="42"/>
        <v>2324.5100000000002</v>
      </c>
      <c r="J195" s="31">
        <v>0.93679999999999997</v>
      </c>
      <c r="K195" s="32">
        <f t="shared" si="43"/>
        <v>2177.6009680000002</v>
      </c>
    </row>
    <row r="196" spans="3:17" ht="15.75" thickBot="1" x14ac:dyDescent="0.3">
      <c r="C196" s="38">
        <v>45078</v>
      </c>
      <c r="D196" s="51">
        <v>45107</v>
      </c>
      <c r="E196" s="258">
        <f>E204</f>
        <v>1958534.3333333335</v>
      </c>
      <c r="F196" s="202">
        <f>F204</f>
        <v>9396</v>
      </c>
      <c r="G196" s="200">
        <f t="shared" si="41"/>
        <v>1949138.3333333335</v>
      </c>
      <c r="H196" s="225">
        <v>2016360</v>
      </c>
      <c r="I196" s="22">
        <f t="shared" si="42"/>
        <v>1949.1383333333335</v>
      </c>
      <c r="J196" s="31">
        <v>0.93679999999999997</v>
      </c>
      <c r="K196" s="32">
        <f t="shared" si="43"/>
        <v>1825.9527906666667</v>
      </c>
    </row>
    <row r="197" spans="3:17" ht="15.75" thickBot="1" x14ac:dyDescent="0.3">
      <c r="C197" s="330" t="s">
        <v>71</v>
      </c>
      <c r="D197" s="331"/>
      <c r="E197" s="48">
        <f>SUM(E190:E196)</f>
        <v>13419664.333333334</v>
      </c>
      <c r="F197" s="49">
        <f>SUM(F190:F196)</f>
        <v>62086</v>
      </c>
      <c r="G197" s="50">
        <f>SUM(G190:G195)</f>
        <v>11408440</v>
      </c>
      <c r="H197" s="62">
        <f>SUM(H190:H196)</f>
        <v>13425460</v>
      </c>
      <c r="I197" s="62">
        <f>SUM(I190:I196)</f>
        <v>13357.548333333334</v>
      </c>
      <c r="J197" s="54">
        <v>0.93679999999999997</v>
      </c>
      <c r="K197" s="55">
        <f>ROUNDDOWN(I197*J197,0)</f>
        <v>12513</v>
      </c>
    </row>
    <row r="198" spans="3:17" ht="15.75" thickBot="1" x14ac:dyDescent="0.3">
      <c r="C198" s="345" t="s">
        <v>3</v>
      </c>
      <c r="D198" s="346"/>
      <c r="E198" s="76">
        <f>E197+E189</f>
        <v>27604964.010752689</v>
      </c>
      <c r="F198" s="90">
        <f>F189+F197</f>
        <v>172144.70967741936</v>
      </c>
      <c r="G198" s="91">
        <f>G197+G189</f>
        <v>25483680.967741936</v>
      </c>
      <c r="H198" s="58">
        <f>H197+H189</f>
        <v>27868920</v>
      </c>
      <c r="I198" s="58">
        <f>SUM(I189+I197)</f>
        <v>27432.78930107527</v>
      </c>
      <c r="J198" s="59">
        <v>0.93679999999999997</v>
      </c>
      <c r="K198" s="60">
        <f>ROUNDDOWN(SUM(K189+K197),0)</f>
        <v>25698</v>
      </c>
      <c r="M198" s="376">
        <v>45078</v>
      </c>
      <c r="N198" s="302"/>
      <c r="O198" s="302"/>
      <c r="P198" s="302"/>
      <c r="Q198" s="302"/>
    </row>
    <row r="199" spans="3:17" ht="15.75" customHeight="1" x14ac:dyDescent="0.25">
      <c r="M199" s="5"/>
      <c r="N199" s="3"/>
      <c r="O199" s="3"/>
      <c r="P199" s="3" t="s">
        <v>131</v>
      </c>
      <c r="Q199" s="3" t="s">
        <v>139</v>
      </c>
    </row>
    <row r="200" spans="3:17" ht="15.75" customHeight="1" x14ac:dyDescent="0.25">
      <c r="C200" s="201">
        <v>44645</v>
      </c>
      <c r="D200" s="201">
        <v>44676</v>
      </c>
      <c r="E200" s="37">
        <v>1889710</v>
      </c>
      <c r="F200" s="14">
        <v>10030</v>
      </c>
      <c r="M200" s="5"/>
      <c r="N200" s="3" t="s">
        <v>127</v>
      </c>
      <c r="O200" s="3">
        <v>2026070</v>
      </c>
      <c r="P200" s="96">
        <f>O200/O202</f>
        <v>67535.666666666672</v>
      </c>
      <c r="Q200" s="96">
        <f>P200*O203</f>
        <v>1958534.3333333335</v>
      </c>
    </row>
    <row r="201" spans="3:17" ht="15.75" customHeight="1" x14ac:dyDescent="0.25">
      <c r="C201" s="201">
        <v>44652</v>
      </c>
      <c r="D201" s="201">
        <v>44676</v>
      </c>
      <c r="E201" s="202">
        <f>Q183</f>
        <v>1523959.6774193549</v>
      </c>
      <c r="F201" s="202">
        <f>Q184</f>
        <v>8088.7096774193551</v>
      </c>
      <c r="M201" s="5"/>
      <c r="N201" s="3" t="s">
        <v>128</v>
      </c>
      <c r="O201" s="3">
        <v>9720</v>
      </c>
      <c r="P201" s="96">
        <f>O201/O202</f>
        <v>324</v>
      </c>
      <c r="Q201" s="96">
        <f>P201*O203</f>
        <v>9396</v>
      </c>
    </row>
    <row r="202" spans="3:17" ht="15.75" customHeight="1" x14ac:dyDescent="0.25">
      <c r="C202" s="235"/>
      <c r="D202" s="235"/>
      <c r="E202" s="7"/>
      <c r="F202" s="7"/>
      <c r="M202" s="5"/>
      <c r="N202" s="3" t="s">
        <v>129</v>
      </c>
      <c r="O202" s="3">
        <f>D203-C203</f>
        <v>30</v>
      </c>
      <c r="P202" s="3"/>
      <c r="Q202" s="3"/>
    </row>
    <row r="203" spans="3:17" ht="15.75" customHeight="1" x14ac:dyDescent="0.25">
      <c r="C203" s="201">
        <v>45078</v>
      </c>
      <c r="D203" s="201">
        <v>45108</v>
      </c>
      <c r="E203" s="188">
        <v>2026070</v>
      </c>
      <c r="F203" s="189">
        <v>9720</v>
      </c>
      <c r="M203" s="5"/>
      <c r="N203" s="3" t="s">
        <v>130</v>
      </c>
      <c r="O203" s="3">
        <f>D204-C204</f>
        <v>29</v>
      </c>
      <c r="P203" s="3"/>
      <c r="Q203" s="3"/>
    </row>
    <row r="204" spans="3:17" x14ac:dyDescent="0.25">
      <c r="C204" s="201">
        <v>45078</v>
      </c>
      <c r="D204" s="201">
        <v>45107</v>
      </c>
      <c r="E204" s="195">
        <f>Q200</f>
        <v>1958534.3333333335</v>
      </c>
      <c r="F204" s="197">
        <f>Q201</f>
        <v>9396</v>
      </c>
    </row>
    <row r="205" spans="3:17" ht="15.75" thickBot="1" x14ac:dyDescent="0.3"/>
    <row r="206" spans="3:17" ht="16.5" customHeight="1" thickBot="1" x14ac:dyDescent="0.3">
      <c r="C206" s="324" t="s">
        <v>67</v>
      </c>
      <c r="D206" s="325"/>
      <c r="E206" s="324" t="s">
        <v>49</v>
      </c>
      <c r="F206" s="335"/>
      <c r="G206" s="336"/>
      <c r="H206" s="377" t="s">
        <v>86</v>
      </c>
      <c r="I206" s="378"/>
      <c r="J206" s="378"/>
      <c r="K206" s="379"/>
    </row>
    <row r="207" spans="3:17" ht="15.75" thickBot="1" x14ac:dyDescent="0.3">
      <c r="C207" s="326" t="s">
        <v>31</v>
      </c>
      <c r="D207" s="327"/>
      <c r="E207" s="332" t="s">
        <v>29</v>
      </c>
      <c r="F207" s="342"/>
      <c r="G207" s="343"/>
      <c r="H207" s="380"/>
      <c r="I207" s="381"/>
      <c r="J207" s="381"/>
      <c r="K207" s="382"/>
    </row>
    <row r="208" spans="3:17" ht="15.75" customHeight="1" thickBot="1" x14ac:dyDescent="0.3">
      <c r="C208" s="328" t="s">
        <v>74</v>
      </c>
      <c r="D208" s="329"/>
      <c r="E208" s="337" t="s">
        <v>87</v>
      </c>
      <c r="F208" s="338"/>
      <c r="G208" s="339"/>
      <c r="H208" s="64"/>
      <c r="I208" s="64"/>
      <c r="J208" s="64"/>
      <c r="K208" s="65"/>
    </row>
    <row r="209" spans="3:17" ht="30.75" thickBot="1" x14ac:dyDescent="0.3">
      <c r="C209" s="326" t="s">
        <v>0</v>
      </c>
      <c r="D209" s="327"/>
      <c r="E209" s="43" t="s">
        <v>72</v>
      </c>
      <c r="F209" s="44" t="s">
        <v>73</v>
      </c>
      <c r="G209" s="61" t="s">
        <v>64</v>
      </c>
      <c r="H209" s="44" t="s">
        <v>100</v>
      </c>
      <c r="I209" s="44" t="s">
        <v>69</v>
      </c>
      <c r="J209" s="44" t="s">
        <v>1</v>
      </c>
      <c r="K209" s="45" t="s">
        <v>2</v>
      </c>
    </row>
    <row r="210" spans="3:17" x14ac:dyDescent="0.25">
      <c r="C210" s="38">
        <v>44652</v>
      </c>
      <c r="D210" s="51">
        <v>44676</v>
      </c>
      <c r="E210" s="195">
        <f>Q213</f>
        <v>1971306.4516129035</v>
      </c>
      <c r="F210" s="197">
        <f>Q214</f>
        <v>7838.7096774193551</v>
      </c>
      <c r="G210" s="200">
        <f>E210-F210</f>
        <v>1963467.7419354841</v>
      </c>
      <c r="H210" s="22">
        <v>2434700</v>
      </c>
      <c r="I210" s="22">
        <f>(MIN(G210,H210))/1000</f>
        <v>1963.4677419354841</v>
      </c>
      <c r="J210" s="35">
        <v>0.93679999999999997</v>
      </c>
      <c r="K210" s="36">
        <f>I210*J210</f>
        <v>1839.3765806451615</v>
      </c>
      <c r="M210" s="1"/>
    </row>
    <row r="211" spans="3:17" x14ac:dyDescent="0.25">
      <c r="C211" s="38">
        <v>44676</v>
      </c>
      <c r="D211" s="51">
        <v>44706</v>
      </c>
      <c r="E211" s="46">
        <v>2287370</v>
      </c>
      <c r="F211" s="30">
        <v>8910</v>
      </c>
      <c r="G211" s="15">
        <f t="shared" ref="G211:G218" si="44">E211-F211</f>
        <v>2278460</v>
      </c>
      <c r="H211" s="21">
        <v>2278460</v>
      </c>
      <c r="I211" s="22">
        <f t="shared" ref="I211:I218" si="45">(MIN(G211,H211))/1000</f>
        <v>2278.46</v>
      </c>
      <c r="J211" s="34">
        <v>0.93679999999999997</v>
      </c>
      <c r="K211" s="32">
        <f t="shared" ref="K211:K218" si="46">I211*J211</f>
        <v>2134.4613279999999</v>
      </c>
      <c r="M211" s="1"/>
      <c r="N211" s="3"/>
      <c r="O211" s="3"/>
      <c r="P211" s="3"/>
      <c r="Q211" s="3"/>
    </row>
    <row r="212" spans="3:17" x14ac:dyDescent="0.25">
      <c r="C212" s="38">
        <v>44706</v>
      </c>
      <c r="D212" s="51">
        <v>44737</v>
      </c>
      <c r="E212" s="46">
        <v>2320730</v>
      </c>
      <c r="F212" s="30">
        <v>8510</v>
      </c>
      <c r="G212" s="15">
        <f t="shared" si="44"/>
        <v>2312220</v>
      </c>
      <c r="H212" s="21">
        <v>2312220</v>
      </c>
      <c r="I212" s="22">
        <f t="shared" si="45"/>
        <v>2312.2199999999998</v>
      </c>
      <c r="J212" s="31">
        <v>0.93679999999999997</v>
      </c>
      <c r="K212" s="32">
        <f t="shared" si="46"/>
        <v>2166.0876959999996</v>
      </c>
      <c r="M212" s="1"/>
      <c r="N212" s="3"/>
      <c r="O212" s="3"/>
      <c r="P212" s="3" t="s">
        <v>131</v>
      </c>
      <c r="Q212" s="3" t="s">
        <v>132</v>
      </c>
    </row>
    <row r="213" spans="3:17" x14ac:dyDescent="0.25">
      <c r="C213" s="38">
        <v>44737</v>
      </c>
      <c r="D213" s="51">
        <v>44767</v>
      </c>
      <c r="E213" s="46">
        <v>1497750</v>
      </c>
      <c r="F213" s="30">
        <v>9430</v>
      </c>
      <c r="G213" s="15">
        <f t="shared" si="44"/>
        <v>1488320</v>
      </c>
      <c r="H213" s="21">
        <v>1488320</v>
      </c>
      <c r="I213" s="22">
        <f t="shared" si="45"/>
        <v>1488.32</v>
      </c>
      <c r="J213" s="31">
        <v>0.93679999999999997</v>
      </c>
      <c r="K213" s="32">
        <f t="shared" si="46"/>
        <v>1394.2581759999998</v>
      </c>
      <c r="M213" s="1"/>
      <c r="N213" s="3" t="s">
        <v>127</v>
      </c>
      <c r="O213" s="30">
        <v>2444420</v>
      </c>
      <c r="P213" s="96">
        <f>O213/O215</f>
        <v>78852.258064516136</v>
      </c>
      <c r="Q213" s="96">
        <f>P213*O216</f>
        <v>1971306.4516129035</v>
      </c>
    </row>
    <row r="214" spans="3:17" x14ac:dyDescent="0.25">
      <c r="C214" s="38">
        <v>44767</v>
      </c>
      <c r="D214" s="51">
        <v>44798</v>
      </c>
      <c r="E214" s="46">
        <v>1917500</v>
      </c>
      <c r="F214" s="30">
        <v>9780</v>
      </c>
      <c r="G214" s="15">
        <f t="shared" si="44"/>
        <v>1907720</v>
      </c>
      <c r="H214" s="21">
        <v>1907710</v>
      </c>
      <c r="I214" s="22">
        <f t="shared" si="45"/>
        <v>1907.71</v>
      </c>
      <c r="J214" s="34">
        <v>0.93679999999999997</v>
      </c>
      <c r="K214" s="32">
        <f t="shared" si="46"/>
        <v>1787.142728</v>
      </c>
      <c r="M214" s="1"/>
      <c r="N214" s="3" t="s">
        <v>128</v>
      </c>
      <c r="O214" s="30">
        <v>9720</v>
      </c>
      <c r="P214" s="96">
        <f>O214/O215</f>
        <v>313.54838709677421</v>
      </c>
      <c r="Q214" s="96">
        <f>P214*O216</f>
        <v>7838.7096774193551</v>
      </c>
    </row>
    <row r="215" spans="3:17" x14ac:dyDescent="0.25">
      <c r="C215" s="38">
        <v>44798</v>
      </c>
      <c r="D215" s="51">
        <v>44829</v>
      </c>
      <c r="E215" s="46">
        <v>1772780</v>
      </c>
      <c r="F215" s="14">
        <v>9220</v>
      </c>
      <c r="G215" s="15">
        <f t="shared" si="44"/>
        <v>1763560</v>
      </c>
      <c r="H215" s="21">
        <v>1763570</v>
      </c>
      <c r="I215" s="22">
        <f t="shared" si="45"/>
        <v>1763.56</v>
      </c>
      <c r="J215" s="31">
        <v>0.93679999999999997</v>
      </c>
      <c r="K215" s="32">
        <f t="shared" si="46"/>
        <v>1652.1030079999998</v>
      </c>
      <c r="M215" s="1"/>
      <c r="N215" s="3" t="s">
        <v>129</v>
      </c>
      <c r="O215" s="3">
        <f>D231-C231</f>
        <v>31</v>
      </c>
      <c r="P215" s="3"/>
      <c r="Q215" s="3"/>
    </row>
    <row r="216" spans="3:17" x14ac:dyDescent="0.25">
      <c r="C216" s="38">
        <v>44829</v>
      </c>
      <c r="D216" s="51">
        <v>44859</v>
      </c>
      <c r="E216" s="46">
        <v>1700580</v>
      </c>
      <c r="F216" s="30">
        <v>10410</v>
      </c>
      <c r="G216" s="15">
        <f t="shared" si="44"/>
        <v>1690170</v>
      </c>
      <c r="H216" s="21">
        <v>1690170</v>
      </c>
      <c r="I216" s="22">
        <f t="shared" si="45"/>
        <v>1690.17</v>
      </c>
      <c r="J216" s="31">
        <v>0.93679999999999997</v>
      </c>
      <c r="K216" s="32">
        <f t="shared" si="46"/>
        <v>1583.3512559999999</v>
      </c>
      <c r="M216" s="1"/>
      <c r="N216" s="3" t="s">
        <v>130</v>
      </c>
      <c r="O216" s="3">
        <f>D232-C232+1</f>
        <v>25</v>
      </c>
      <c r="P216" s="3"/>
      <c r="Q216" s="3"/>
    </row>
    <row r="217" spans="3:17" x14ac:dyDescent="0.25">
      <c r="C217" s="38">
        <v>44859</v>
      </c>
      <c r="D217" s="51">
        <v>44890</v>
      </c>
      <c r="E217" s="46">
        <v>2113310</v>
      </c>
      <c r="F217" s="30">
        <v>11400</v>
      </c>
      <c r="G217" s="15">
        <f t="shared" si="44"/>
        <v>2101910</v>
      </c>
      <c r="H217" s="21">
        <v>2102150</v>
      </c>
      <c r="I217" s="22">
        <f t="shared" si="45"/>
        <v>2101.91</v>
      </c>
      <c r="J217" s="34">
        <v>0.93679999999999997</v>
      </c>
      <c r="K217" s="32">
        <f t="shared" si="46"/>
        <v>1969.0692879999997</v>
      </c>
      <c r="N217" s="3"/>
      <c r="O217" s="3"/>
      <c r="P217" s="3"/>
      <c r="Q217" s="3"/>
    </row>
    <row r="218" spans="3:17" ht="15.75" thickBot="1" x14ac:dyDescent="0.3">
      <c r="C218" s="38">
        <v>44890</v>
      </c>
      <c r="D218" s="51">
        <v>44920</v>
      </c>
      <c r="E218" s="47">
        <v>1981430</v>
      </c>
      <c r="F218" s="30">
        <v>10760</v>
      </c>
      <c r="G218" s="15">
        <f t="shared" si="44"/>
        <v>1970670</v>
      </c>
      <c r="H218" s="33">
        <v>1970670</v>
      </c>
      <c r="I218" s="22">
        <f t="shared" si="45"/>
        <v>1970.67</v>
      </c>
      <c r="J218" s="41">
        <v>0.93679999999999997</v>
      </c>
      <c r="K218" s="42">
        <f t="shared" si="46"/>
        <v>1846.123656</v>
      </c>
    </row>
    <row r="219" spans="3:17" ht="15.75" customHeight="1" thickBot="1" x14ac:dyDescent="0.3">
      <c r="C219" s="330" t="s">
        <v>70</v>
      </c>
      <c r="D219" s="331"/>
      <c r="E219" s="48">
        <f>SUM(E210:E218)</f>
        <v>17562756.451612905</v>
      </c>
      <c r="F219" s="49">
        <f t="shared" ref="F219:I219" si="47">SUM(F210:F218)</f>
        <v>86258.709677419363</v>
      </c>
      <c r="G219" s="50">
        <f t="shared" si="47"/>
        <v>17476497.741935484</v>
      </c>
      <c r="H219" s="49">
        <f t="shared" si="47"/>
        <v>17947970</v>
      </c>
      <c r="I219" s="49">
        <f t="shared" si="47"/>
        <v>17476.487741935482</v>
      </c>
      <c r="J219" s="54">
        <v>0.93679999999999997</v>
      </c>
      <c r="K219" s="55">
        <f>ROUNDDOWN(I219*J219,0)</f>
        <v>16371</v>
      </c>
    </row>
    <row r="220" spans="3:17" x14ac:dyDescent="0.25">
      <c r="C220" s="38">
        <v>44920</v>
      </c>
      <c r="D220" s="51">
        <v>44951</v>
      </c>
      <c r="E220" s="37">
        <v>2437920</v>
      </c>
      <c r="F220" s="14">
        <v>11020</v>
      </c>
      <c r="G220" s="15">
        <f>E220-F220</f>
        <v>2426900</v>
      </c>
      <c r="H220" s="22">
        <v>2426900</v>
      </c>
      <c r="I220" s="22">
        <f>(MIN(G220,H220))/1000</f>
        <v>2426.9</v>
      </c>
      <c r="J220" s="35">
        <v>0.93679999999999997</v>
      </c>
      <c r="K220" s="36">
        <f>I220*J220</f>
        <v>2273.5199200000002</v>
      </c>
    </row>
    <row r="221" spans="3:17" x14ac:dyDescent="0.25">
      <c r="C221" s="39">
        <v>44951</v>
      </c>
      <c r="D221" s="52">
        <v>44982</v>
      </c>
      <c r="E221" s="46">
        <v>2772330</v>
      </c>
      <c r="F221" s="30">
        <v>10510</v>
      </c>
      <c r="G221" s="15">
        <f t="shared" ref="G221:G226" si="48">E221-F221</f>
        <v>2761820</v>
      </c>
      <c r="H221" s="21">
        <v>2761820</v>
      </c>
      <c r="I221" s="22">
        <f t="shared" ref="I221:I226" si="49">(MIN(G221,H221))/1000</f>
        <v>2761.82</v>
      </c>
      <c r="J221" s="31">
        <v>0.93679999999999997</v>
      </c>
      <c r="K221" s="32">
        <f t="shared" ref="K221:K226" si="50">I221*J221</f>
        <v>2587.2729760000002</v>
      </c>
    </row>
    <row r="222" spans="3:17" x14ac:dyDescent="0.25">
      <c r="C222" s="38">
        <v>44982</v>
      </c>
      <c r="D222" s="51">
        <v>45010</v>
      </c>
      <c r="E222" s="46">
        <v>1110370</v>
      </c>
      <c r="F222" s="30">
        <v>3960</v>
      </c>
      <c r="G222" s="15">
        <f t="shared" si="48"/>
        <v>1106410</v>
      </c>
      <c r="H222" s="21">
        <v>2437960</v>
      </c>
      <c r="I222" s="22">
        <f t="shared" si="49"/>
        <v>1106.4100000000001</v>
      </c>
      <c r="J222" s="31">
        <v>0.93679999999999997</v>
      </c>
      <c r="K222" s="32">
        <f t="shared" si="50"/>
        <v>1036.484888</v>
      </c>
    </row>
    <row r="223" spans="3:17" x14ac:dyDescent="0.25">
      <c r="C223" s="38">
        <v>45010</v>
      </c>
      <c r="D223" s="51">
        <v>45017</v>
      </c>
      <c r="E223" s="46">
        <v>632490</v>
      </c>
      <c r="F223" s="30">
        <v>2290</v>
      </c>
      <c r="G223" s="15">
        <f t="shared" si="48"/>
        <v>630200</v>
      </c>
      <c r="H223" s="225">
        <v>630200</v>
      </c>
      <c r="I223" s="22">
        <f t="shared" si="49"/>
        <v>630.20000000000005</v>
      </c>
      <c r="J223" s="31">
        <v>0.93679999999999997</v>
      </c>
      <c r="K223" s="32">
        <f t="shared" si="50"/>
        <v>590.37135999999998</v>
      </c>
    </row>
    <row r="224" spans="3:17" x14ac:dyDescent="0.25">
      <c r="C224" s="236">
        <v>45017</v>
      </c>
      <c r="D224" s="237">
        <v>45047</v>
      </c>
      <c r="E224" s="46">
        <v>2673430</v>
      </c>
      <c r="F224" s="30">
        <v>10070</v>
      </c>
      <c r="G224" s="15">
        <f t="shared" si="48"/>
        <v>2663360</v>
      </c>
      <c r="H224" s="21">
        <v>2663360</v>
      </c>
      <c r="I224" s="22">
        <f t="shared" si="49"/>
        <v>2663.36</v>
      </c>
      <c r="J224" s="31">
        <v>0.93679999999999997</v>
      </c>
      <c r="K224" s="32">
        <f t="shared" si="50"/>
        <v>2495.035648</v>
      </c>
    </row>
    <row r="225" spans="3:17" x14ac:dyDescent="0.25">
      <c r="C225" s="236">
        <v>45047</v>
      </c>
      <c r="D225" s="237">
        <v>45078</v>
      </c>
      <c r="E225" s="47">
        <v>2547490</v>
      </c>
      <c r="F225" s="14">
        <v>9940</v>
      </c>
      <c r="G225" s="15">
        <f t="shared" si="48"/>
        <v>2537550</v>
      </c>
      <c r="H225" s="257">
        <v>2537560</v>
      </c>
      <c r="I225" s="22">
        <f t="shared" si="49"/>
        <v>2537.5500000000002</v>
      </c>
      <c r="J225" s="41">
        <v>0.93679999999999997</v>
      </c>
      <c r="K225" s="42">
        <f t="shared" si="50"/>
        <v>2377.1768400000001</v>
      </c>
    </row>
    <row r="226" spans="3:17" ht="15.75" thickBot="1" x14ac:dyDescent="0.3">
      <c r="C226" s="38">
        <v>45078</v>
      </c>
      <c r="D226" s="51">
        <v>45107</v>
      </c>
      <c r="E226" s="258">
        <f>E235</f>
        <v>2345288</v>
      </c>
      <c r="F226" s="202">
        <f>F235</f>
        <v>9154.3333333333339</v>
      </c>
      <c r="G226" s="200">
        <f t="shared" si="48"/>
        <v>2336133.6666666665</v>
      </c>
      <c r="H226" s="260">
        <v>2416680</v>
      </c>
      <c r="I226" s="22">
        <f t="shared" si="49"/>
        <v>2336.1336666666666</v>
      </c>
      <c r="J226" s="41">
        <v>0.93679999999999997</v>
      </c>
      <c r="K226" s="42">
        <f t="shared" si="50"/>
        <v>2188.4900189333334</v>
      </c>
    </row>
    <row r="227" spans="3:17" ht="15.75" thickBot="1" x14ac:dyDescent="0.3">
      <c r="C227" s="330" t="s">
        <v>71</v>
      </c>
      <c r="D227" s="331"/>
      <c r="E227" s="48">
        <f>SUM(E220:E226)</f>
        <v>14519318</v>
      </c>
      <c r="F227" s="49">
        <f>SUM(F220:F226)</f>
        <v>56944.333333333336</v>
      </c>
      <c r="G227" s="50">
        <f>SUM(G220:G225)</f>
        <v>12126240</v>
      </c>
      <c r="H227" s="62">
        <f>SUM(H220:H226)</f>
        <v>15874480</v>
      </c>
      <c r="I227" s="62">
        <f>SUM(I220:I226)</f>
        <v>14462.373666666668</v>
      </c>
      <c r="J227" s="54">
        <v>0.93679999999999997</v>
      </c>
      <c r="K227" s="55">
        <f>ROUNDDOWN(I227*J227,0)</f>
        <v>13548</v>
      </c>
    </row>
    <row r="228" spans="3:17" ht="15.75" thickBot="1" x14ac:dyDescent="0.3">
      <c r="C228" s="345" t="s">
        <v>3</v>
      </c>
      <c r="D228" s="346"/>
      <c r="E228" s="76">
        <f>E227+E219</f>
        <v>32082074.451612905</v>
      </c>
      <c r="F228" s="90">
        <f>F219+F227</f>
        <v>143203.04301075271</v>
      </c>
      <c r="G228" s="91">
        <f>G227+G219</f>
        <v>29602737.741935484</v>
      </c>
      <c r="H228" s="58">
        <f>H227+H219</f>
        <v>33822450</v>
      </c>
      <c r="I228" s="58">
        <f>SUM(I219+I227)</f>
        <v>31938.861408602148</v>
      </c>
      <c r="J228" s="59">
        <v>0.93679999999999997</v>
      </c>
      <c r="K228" s="60">
        <f>ROUNDDOWN(SUM(K219+K227),0)</f>
        <v>29919</v>
      </c>
      <c r="M228" s="376">
        <v>45078</v>
      </c>
      <c r="N228" s="302"/>
      <c r="O228" s="302"/>
      <c r="P228" s="302"/>
      <c r="Q228" s="302"/>
    </row>
    <row r="229" spans="3:17" x14ac:dyDescent="0.25">
      <c r="M229" s="5"/>
      <c r="N229" s="3"/>
      <c r="O229" s="3"/>
      <c r="P229" s="3" t="s">
        <v>131</v>
      </c>
      <c r="Q229" s="3" t="s">
        <v>139</v>
      </c>
    </row>
    <row r="230" spans="3:17" x14ac:dyDescent="0.25">
      <c r="M230" s="5"/>
      <c r="N230" s="3" t="s">
        <v>127</v>
      </c>
      <c r="O230" s="3">
        <v>2426160</v>
      </c>
      <c r="P230" s="96">
        <f>O230/O232</f>
        <v>80872</v>
      </c>
      <c r="Q230" s="96">
        <f>P230*O233</f>
        <v>2345288</v>
      </c>
    </row>
    <row r="231" spans="3:17" x14ac:dyDescent="0.25">
      <c r="C231" s="201">
        <v>44645</v>
      </c>
      <c r="D231" s="201">
        <v>44676</v>
      </c>
      <c r="E231" s="37">
        <v>2444420</v>
      </c>
      <c r="F231" s="14">
        <v>9720</v>
      </c>
      <c r="M231" s="5"/>
      <c r="N231" s="3" t="s">
        <v>128</v>
      </c>
      <c r="O231" s="3">
        <v>9470</v>
      </c>
      <c r="P231" s="96">
        <f>O231/O232</f>
        <v>315.66666666666669</v>
      </c>
      <c r="Q231" s="96">
        <f>P231*O233</f>
        <v>9154.3333333333339</v>
      </c>
    </row>
    <row r="232" spans="3:17" x14ac:dyDescent="0.25">
      <c r="C232" s="201">
        <v>44652</v>
      </c>
      <c r="D232" s="201">
        <v>44676</v>
      </c>
      <c r="E232" s="202">
        <f>Q213</f>
        <v>1971306.4516129035</v>
      </c>
      <c r="F232" s="202">
        <f>Q214</f>
        <v>7838.7096774193551</v>
      </c>
      <c r="M232" s="5"/>
      <c r="N232" s="3" t="s">
        <v>129</v>
      </c>
      <c r="O232" s="3">
        <f>D234-C234</f>
        <v>30</v>
      </c>
      <c r="P232" s="3"/>
      <c r="Q232" s="3"/>
    </row>
    <row r="233" spans="3:17" x14ac:dyDescent="0.25">
      <c r="M233" s="5"/>
      <c r="N233" s="3" t="s">
        <v>130</v>
      </c>
      <c r="O233" s="3">
        <f>D235-C235</f>
        <v>29</v>
      </c>
      <c r="P233" s="3"/>
      <c r="Q233" s="3"/>
    </row>
    <row r="234" spans="3:17" x14ac:dyDescent="0.25">
      <c r="C234" s="201">
        <v>45078</v>
      </c>
      <c r="D234" s="201">
        <v>45108</v>
      </c>
      <c r="E234" s="188">
        <v>2426160</v>
      </c>
      <c r="F234" s="189">
        <v>9470</v>
      </c>
    </row>
    <row r="235" spans="3:17" x14ac:dyDescent="0.25">
      <c r="C235" s="201">
        <v>45078</v>
      </c>
      <c r="D235" s="201">
        <v>45107</v>
      </c>
      <c r="E235" s="195">
        <f>Q230</f>
        <v>2345288</v>
      </c>
      <c r="F235" s="197">
        <f>Q231</f>
        <v>9154.3333333333339</v>
      </c>
    </row>
    <row r="238" spans="3:17" ht="84.75" customHeight="1" x14ac:dyDescent="0.25">
      <c r="C238" s="375" t="s">
        <v>143</v>
      </c>
      <c r="D238" s="375"/>
      <c r="E238" s="375"/>
      <c r="F238" s="375"/>
      <c r="G238" s="375"/>
      <c r="H238" s="375"/>
      <c r="I238" s="375"/>
      <c r="J238" s="375"/>
    </row>
  </sheetData>
  <mergeCells count="88">
    <mergeCell ref="C42:D42"/>
    <mergeCell ref="C60:D60"/>
    <mergeCell ref="E73:G73"/>
    <mergeCell ref="H73:K74"/>
    <mergeCell ref="C73:D73"/>
    <mergeCell ref="C61:D61"/>
    <mergeCell ref="C52:D52"/>
    <mergeCell ref="C74:D74"/>
    <mergeCell ref="E74:G74"/>
    <mergeCell ref="H39:K40"/>
    <mergeCell ref="E39:G39"/>
    <mergeCell ref="E40:G40"/>
    <mergeCell ref="C41:D41"/>
    <mergeCell ref="E41:G41"/>
    <mergeCell ref="C39:D39"/>
    <mergeCell ref="C40:D40"/>
    <mergeCell ref="H6:K7"/>
    <mergeCell ref="C6:D6"/>
    <mergeCell ref="E6:G6"/>
    <mergeCell ref="C7:D7"/>
    <mergeCell ref="E7:G7"/>
    <mergeCell ref="C28:D28"/>
    <mergeCell ref="C2:G2"/>
    <mergeCell ref="C3:G3"/>
    <mergeCell ref="C4:G4"/>
    <mergeCell ref="C8:D8"/>
    <mergeCell ref="E8:G8"/>
    <mergeCell ref="C9:D9"/>
    <mergeCell ref="C19:D19"/>
    <mergeCell ref="C27:D27"/>
    <mergeCell ref="C75:D75"/>
    <mergeCell ref="E75:G75"/>
    <mergeCell ref="C86:D86"/>
    <mergeCell ref="C76:D76"/>
    <mergeCell ref="C94:D94"/>
    <mergeCell ref="C95:D95"/>
    <mergeCell ref="C111:D111"/>
    <mergeCell ref="E111:G111"/>
    <mergeCell ref="H110:K111"/>
    <mergeCell ref="C110:D110"/>
    <mergeCell ref="E110:G110"/>
    <mergeCell ref="C112:D112"/>
    <mergeCell ref="E112:G112"/>
    <mergeCell ref="C113:D113"/>
    <mergeCell ref="C123:D123"/>
    <mergeCell ref="C131:D131"/>
    <mergeCell ref="C132:D132"/>
    <mergeCell ref="H143:K144"/>
    <mergeCell ref="C143:D143"/>
    <mergeCell ref="E143:G143"/>
    <mergeCell ref="C144:D144"/>
    <mergeCell ref="E144:G144"/>
    <mergeCell ref="C145:D145"/>
    <mergeCell ref="E145:G145"/>
    <mergeCell ref="C146:D146"/>
    <mergeCell ref="C156:D156"/>
    <mergeCell ref="C164:D164"/>
    <mergeCell ref="C165:D165"/>
    <mergeCell ref="H176:K177"/>
    <mergeCell ref="C176:D176"/>
    <mergeCell ref="E176:G176"/>
    <mergeCell ref="C177:D177"/>
    <mergeCell ref="E177:G177"/>
    <mergeCell ref="C206:D206"/>
    <mergeCell ref="E206:G206"/>
    <mergeCell ref="C207:D207"/>
    <mergeCell ref="E207:G207"/>
    <mergeCell ref="C178:D178"/>
    <mergeCell ref="E178:G178"/>
    <mergeCell ref="C179:D179"/>
    <mergeCell ref="C189:D189"/>
    <mergeCell ref="C197:D197"/>
    <mergeCell ref="C238:J238"/>
    <mergeCell ref="M198:Q198"/>
    <mergeCell ref="M228:Q228"/>
    <mergeCell ref="N29:R29"/>
    <mergeCell ref="M62:Q62"/>
    <mergeCell ref="N96:R96"/>
    <mergeCell ref="M133:Q133"/>
    <mergeCell ref="M167:Q167"/>
    <mergeCell ref="C228:D228"/>
    <mergeCell ref="C208:D208"/>
    <mergeCell ref="E208:G208"/>
    <mergeCell ref="C209:D209"/>
    <mergeCell ref="C219:D219"/>
    <mergeCell ref="C227:D227"/>
    <mergeCell ref="C198:D198"/>
    <mergeCell ref="H206:K207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B1:P188"/>
  <sheetViews>
    <sheetView zoomScaleNormal="100" workbookViewId="0">
      <selection activeCell="H159" sqref="H159"/>
    </sheetView>
  </sheetViews>
  <sheetFormatPr defaultColWidth="9.140625" defaultRowHeight="15" x14ac:dyDescent="0.25"/>
  <cols>
    <col min="1" max="1" width="11" style="24" customWidth="1"/>
    <col min="2" max="2" width="15.85546875" style="24" customWidth="1"/>
    <col min="3" max="3" width="13.85546875" style="24" customWidth="1"/>
    <col min="4" max="4" width="14.140625" style="24" customWidth="1"/>
    <col min="5" max="5" width="11.28515625" style="24" customWidth="1"/>
    <col min="6" max="6" width="10.42578125" style="24" bestFit="1" customWidth="1"/>
    <col min="7" max="7" width="18" style="24" bestFit="1" customWidth="1"/>
    <col min="8" max="8" width="18.28515625" style="24" bestFit="1" customWidth="1"/>
    <col min="9" max="9" width="8.85546875" style="24" bestFit="1" customWidth="1"/>
    <col min="10" max="10" width="10.85546875" style="24" bestFit="1" customWidth="1"/>
    <col min="11" max="11" width="12.140625" style="24" bestFit="1" customWidth="1"/>
    <col min="12" max="12" width="30.7109375" style="24" customWidth="1"/>
    <col min="13" max="13" width="14.28515625" style="24" bestFit="1" customWidth="1"/>
    <col min="14" max="14" width="9.140625" style="24"/>
    <col min="15" max="15" width="10.85546875" style="24" customWidth="1"/>
    <col min="16" max="16384" width="9.140625" style="24"/>
  </cols>
  <sheetData>
    <row r="1" spans="2:15" ht="15.75" thickBot="1" x14ac:dyDescent="0.3"/>
    <row r="2" spans="2:15" x14ac:dyDescent="0.25">
      <c r="B2" s="315" t="s">
        <v>57</v>
      </c>
      <c r="C2" s="316"/>
      <c r="D2" s="316"/>
      <c r="E2" s="316"/>
      <c r="F2" s="317"/>
      <c r="G2" s="27">
        <f>15+15+15+15+15+15</f>
        <v>90</v>
      </c>
    </row>
    <row r="3" spans="2:15" x14ac:dyDescent="0.25">
      <c r="B3" s="321" t="s">
        <v>58</v>
      </c>
      <c r="C3" s="322"/>
      <c r="D3" s="322"/>
      <c r="E3" s="322"/>
      <c r="F3" s="323"/>
      <c r="G3" s="28">
        <f>H28+H58+H88+H118+H147+H177</f>
        <v>189997.11097526882</v>
      </c>
    </row>
    <row r="4" spans="2:15" ht="15.75" thickBot="1" x14ac:dyDescent="0.3">
      <c r="B4" s="318" t="s">
        <v>59</v>
      </c>
      <c r="C4" s="319"/>
      <c r="D4" s="319"/>
      <c r="E4" s="319"/>
      <c r="F4" s="320"/>
      <c r="G4" s="29">
        <f>J28+J58+J88+J118+J147+J177</f>
        <v>177984</v>
      </c>
      <c r="K4" s="282"/>
      <c r="L4" s="282"/>
      <c r="M4" s="282"/>
    </row>
    <row r="5" spans="2:15" ht="15.75" thickBot="1" x14ac:dyDescent="0.3"/>
    <row r="6" spans="2:15" ht="15.75" thickBot="1" x14ac:dyDescent="0.3">
      <c r="B6" s="324" t="s">
        <v>67</v>
      </c>
      <c r="C6" s="325"/>
      <c r="D6" s="324" t="s">
        <v>36</v>
      </c>
      <c r="E6" s="335"/>
      <c r="F6" s="336"/>
      <c r="G6" s="377" t="s">
        <v>88</v>
      </c>
      <c r="H6" s="378"/>
      <c r="I6" s="378"/>
      <c r="J6" s="379"/>
      <c r="N6" s="7"/>
    </row>
    <row r="7" spans="2:15" ht="15.75" thickBot="1" x14ac:dyDescent="0.3">
      <c r="B7" s="326" t="s">
        <v>31</v>
      </c>
      <c r="C7" s="327"/>
      <c r="D7" s="332" t="s">
        <v>29</v>
      </c>
      <c r="E7" s="342"/>
      <c r="F7" s="343"/>
      <c r="G7" s="380"/>
      <c r="H7" s="381"/>
      <c r="I7" s="381"/>
      <c r="J7" s="382"/>
      <c r="L7" s="25"/>
    </row>
    <row r="8" spans="2:15" ht="15.75" thickBot="1" x14ac:dyDescent="0.3">
      <c r="B8" s="328" t="s">
        <v>74</v>
      </c>
      <c r="C8" s="329"/>
      <c r="D8" s="337" t="s">
        <v>94</v>
      </c>
      <c r="E8" s="338"/>
      <c r="F8" s="339"/>
      <c r="G8" s="64"/>
      <c r="H8" s="64"/>
      <c r="I8" s="64"/>
      <c r="J8" s="65"/>
    </row>
    <row r="9" spans="2:15" ht="30.75" thickBot="1" x14ac:dyDescent="0.3">
      <c r="B9" s="326" t="s">
        <v>0</v>
      </c>
      <c r="C9" s="327"/>
      <c r="D9" s="43" t="s">
        <v>72</v>
      </c>
      <c r="E9" s="44" t="s">
        <v>73</v>
      </c>
      <c r="F9" s="61" t="s">
        <v>64</v>
      </c>
      <c r="G9" s="44" t="s">
        <v>100</v>
      </c>
      <c r="H9" s="272" t="s">
        <v>69</v>
      </c>
      <c r="I9" s="44" t="s">
        <v>1</v>
      </c>
      <c r="J9" s="45" t="s">
        <v>2</v>
      </c>
    </row>
    <row r="10" spans="2:15" x14ac:dyDescent="0.25">
      <c r="B10" s="38">
        <v>44652</v>
      </c>
      <c r="C10" s="51">
        <v>44676</v>
      </c>
      <c r="D10" s="188">
        <f>D31</f>
        <v>1858600</v>
      </c>
      <c r="E10" s="189">
        <f>E31</f>
        <v>7600</v>
      </c>
      <c r="F10" s="190">
        <f>D10-E10</f>
        <v>1851000</v>
      </c>
      <c r="G10" s="22">
        <v>2441800</v>
      </c>
      <c r="H10" s="22">
        <f>(MIN(F10,G10))/1000</f>
        <v>1851</v>
      </c>
      <c r="I10" s="35">
        <v>0.93679999999999997</v>
      </c>
      <c r="J10" s="36">
        <f>H10*I10</f>
        <v>1734.0167999999999</v>
      </c>
    </row>
    <row r="11" spans="2:15" x14ac:dyDescent="0.25">
      <c r="B11" s="39">
        <v>44676</v>
      </c>
      <c r="C11" s="52">
        <v>44706</v>
      </c>
      <c r="D11" s="46">
        <v>2425000</v>
      </c>
      <c r="E11" s="30">
        <v>9100</v>
      </c>
      <c r="F11" s="15">
        <f t="shared" ref="F11:F18" si="0">D11-E11</f>
        <v>2415900</v>
      </c>
      <c r="G11" s="21">
        <v>2415900</v>
      </c>
      <c r="H11" s="22">
        <f>((MIN(F11,G11))/1000)</f>
        <v>2415.9</v>
      </c>
      <c r="I11" s="34">
        <v>0.93679999999999997</v>
      </c>
      <c r="J11" s="32">
        <f t="shared" ref="J11:J18" si="1">H11*I11</f>
        <v>2263.2151199999998</v>
      </c>
      <c r="L11" s="187"/>
      <c r="N11" s="24">
        <v>2022</v>
      </c>
      <c r="O11" s="7">
        <f>J19+J49+J79+J109+J139+J168</f>
        <v>96863</v>
      </c>
    </row>
    <row r="12" spans="2:15" x14ac:dyDescent="0.25">
      <c r="B12" s="39">
        <v>44706</v>
      </c>
      <c r="C12" s="52">
        <v>44736</v>
      </c>
      <c r="D12" s="154">
        <v>2262400</v>
      </c>
      <c r="E12" s="3">
        <v>9200</v>
      </c>
      <c r="F12" s="15">
        <f t="shared" si="0"/>
        <v>2253200</v>
      </c>
      <c r="G12" s="21">
        <v>2253200</v>
      </c>
      <c r="H12" s="22">
        <f t="shared" ref="H12:H18" si="2">(MIN(F12,G12))/1000</f>
        <v>2253.1999999999998</v>
      </c>
      <c r="I12" s="31">
        <v>0.93679999999999997</v>
      </c>
      <c r="J12" s="32">
        <f t="shared" si="1"/>
        <v>2110.7977599999999</v>
      </c>
      <c r="M12" s="7"/>
      <c r="N12" s="24">
        <v>2023</v>
      </c>
      <c r="O12" s="7">
        <f>J27+J57+J87+J117+J146+J176</f>
        <v>81121</v>
      </c>
    </row>
    <row r="13" spans="2:15" x14ac:dyDescent="0.25">
      <c r="B13" s="38">
        <v>44736</v>
      </c>
      <c r="C13" s="51">
        <v>44765</v>
      </c>
      <c r="D13" s="154">
        <v>1470100</v>
      </c>
      <c r="E13" s="3">
        <v>9600</v>
      </c>
      <c r="F13" s="15">
        <f t="shared" si="0"/>
        <v>1460500</v>
      </c>
      <c r="G13" s="21">
        <v>1460500</v>
      </c>
      <c r="H13" s="22">
        <f t="shared" si="2"/>
        <v>1460.5</v>
      </c>
      <c r="I13" s="31">
        <v>0.93679999999999997</v>
      </c>
      <c r="J13" s="32">
        <f t="shared" si="1"/>
        <v>1368.1964</v>
      </c>
      <c r="M13" s="7"/>
      <c r="N13" s="24" t="s">
        <v>110</v>
      </c>
      <c r="O13" s="7">
        <f>O11+O12</f>
        <v>177984</v>
      </c>
    </row>
    <row r="14" spans="2:15" x14ac:dyDescent="0.25">
      <c r="B14" s="39">
        <v>44765</v>
      </c>
      <c r="C14" s="52">
        <v>44798</v>
      </c>
      <c r="D14" s="154">
        <v>2134000</v>
      </c>
      <c r="E14" s="30">
        <v>11000</v>
      </c>
      <c r="F14" s="15">
        <f t="shared" si="0"/>
        <v>2123000</v>
      </c>
      <c r="G14" s="21">
        <v>2123000</v>
      </c>
      <c r="H14" s="22">
        <f t="shared" si="2"/>
        <v>2123</v>
      </c>
      <c r="I14" s="34">
        <v>0.93679999999999997</v>
      </c>
      <c r="J14" s="32">
        <f t="shared" si="1"/>
        <v>1988.8263999999999</v>
      </c>
      <c r="M14" s="7"/>
    </row>
    <row r="15" spans="2:15" x14ac:dyDescent="0.25">
      <c r="B15" s="39">
        <v>44798</v>
      </c>
      <c r="C15" s="52">
        <v>44828</v>
      </c>
      <c r="D15" s="154">
        <v>1895700</v>
      </c>
      <c r="E15" s="14">
        <v>10300</v>
      </c>
      <c r="F15" s="15">
        <f t="shared" si="0"/>
        <v>1885400</v>
      </c>
      <c r="G15" s="21">
        <v>1885400</v>
      </c>
      <c r="H15" s="22">
        <f t="shared" si="2"/>
        <v>1885.4</v>
      </c>
      <c r="I15" s="31">
        <v>0.93679999999999997</v>
      </c>
      <c r="J15" s="32">
        <f t="shared" si="1"/>
        <v>1766.24272</v>
      </c>
      <c r="M15" s="7"/>
      <c r="N15" s="24">
        <v>2022</v>
      </c>
      <c r="O15" s="7">
        <f>H19+H49+H79+H109+H139+H168</f>
        <v>103400.50612903226</v>
      </c>
    </row>
    <row r="16" spans="2:15" x14ac:dyDescent="0.25">
      <c r="B16" s="38">
        <v>44828</v>
      </c>
      <c r="C16" s="51">
        <v>44859</v>
      </c>
      <c r="D16" s="154">
        <v>2119600</v>
      </c>
      <c r="E16" s="30">
        <v>10900</v>
      </c>
      <c r="F16" s="15">
        <f t="shared" si="0"/>
        <v>2108700</v>
      </c>
      <c r="G16" s="21">
        <v>2108700</v>
      </c>
      <c r="H16" s="22">
        <f t="shared" si="2"/>
        <v>2108.6999999999998</v>
      </c>
      <c r="I16" s="31">
        <v>0.93679999999999997</v>
      </c>
      <c r="J16" s="32">
        <f t="shared" si="1"/>
        <v>1975.4301599999997</v>
      </c>
      <c r="N16" s="24">
        <v>2023</v>
      </c>
      <c r="O16" s="7">
        <f>H27+H57+H87+H117+H146+H176</f>
        <v>86596.604846236572</v>
      </c>
    </row>
    <row r="17" spans="2:16" x14ac:dyDescent="0.25">
      <c r="B17" s="39">
        <v>44859</v>
      </c>
      <c r="C17" s="52">
        <v>44893</v>
      </c>
      <c r="D17" s="154">
        <v>2830700</v>
      </c>
      <c r="E17" s="30">
        <v>12400</v>
      </c>
      <c r="F17" s="15">
        <f t="shared" si="0"/>
        <v>2818300</v>
      </c>
      <c r="G17" s="21">
        <v>2818460</v>
      </c>
      <c r="H17" s="22">
        <f t="shared" si="2"/>
        <v>2818.3</v>
      </c>
      <c r="I17" s="34">
        <v>0.93679999999999997</v>
      </c>
      <c r="J17" s="32">
        <f t="shared" si="1"/>
        <v>2640.1834400000002</v>
      </c>
    </row>
    <row r="18" spans="2:16" ht="15.75" thickBot="1" x14ac:dyDescent="0.3">
      <c r="B18" s="40">
        <v>44893</v>
      </c>
      <c r="C18" s="53">
        <v>44920</v>
      </c>
      <c r="D18" s="186">
        <v>1921500</v>
      </c>
      <c r="E18" s="30">
        <v>9800</v>
      </c>
      <c r="F18" s="15">
        <f t="shared" si="0"/>
        <v>1911700</v>
      </c>
      <c r="G18" s="33">
        <v>1911780</v>
      </c>
      <c r="H18" s="22">
        <f t="shared" si="2"/>
        <v>1911.7</v>
      </c>
      <c r="I18" s="41">
        <v>0.93679999999999997</v>
      </c>
      <c r="J18" s="42">
        <f t="shared" si="1"/>
        <v>1790.8805600000001</v>
      </c>
    </row>
    <row r="19" spans="2:16" ht="15.75" thickBot="1" x14ac:dyDescent="0.3">
      <c r="B19" s="330" t="s">
        <v>70</v>
      </c>
      <c r="C19" s="331"/>
      <c r="D19" s="149">
        <f>SUM(D10:D18)</f>
        <v>18917600</v>
      </c>
      <c r="E19" s="49">
        <f t="shared" ref="E19:H19" si="3">SUM(E10:E18)</f>
        <v>89900</v>
      </c>
      <c r="F19" s="50">
        <f t="shared" si="3"/>
        <v>18827700</v>
      </c>
      <c r="G19" s="49">
        <f t="shared" si="3"/>
        <v>19418740</v>
      </c>
      <c r="H19" s="49">
        <f t="shared" si="3"/>
        <v>18827.699999999997</v>
      </c>
      <c r="I19" s="54">
        <v>0.93679999999999997</v>
      </c>
      <c r="J19" s="55">
        <f>ROUNDDOWN(H19*I19,0)</f>
        <v>17637</v>
      </c>
    </row>
    <row r="20" spans="2:16" x14ac:dyDescent="0.25">
      <c r="B20" s="38">
        <v>44920</v>
      </c>
      <c r="C20" s="51">
        <v>44950</v>
      </c>
      <c r="D20" s="185">
        <v>2229500</v>
      </c>
      <c r="E20" s="14">
        <v>11100</v>
      </c>
      <c r="F20" s="15">
        <f>D20-E20</f>
        <v>2218400</v>
      </c>
      <c r="G20" s="22">
        <v>2218700</v>
      </c>
      <c r="H20" s="22">
        <f>(MIN(F20,G20))/1000</f>
        <v>2218.4</v>
      </c>
      <c r="I20" s="35">
        <v>0.93679999999999997</v>
      </c>
      <c r="J20" s="36">
        <f>H20*I20</f>
        <v>2078.1971199999998</v>
      </c>
    </row>
    <row r="21" spans="2:16" x14ac:dyDescent="0.25">
      <c r="B21" s="39">
        <v>44950</v>
      </c>
      <c r="C21" s="52">
        <v>44980</v>
      </c>
      <c r="D21" s="154">
        <v>2753400</v>
      </c>
      <c r="E21" s="3">
        <v>10100</v>
      </c>
      <c r="F21" s="15">
        <f t="shared" ref="F21:F26" si="4">D21-E21</f>
        <v>2743300</v>
      </c>
      <c r="G21" s="21">
        <v>2743200</v>
      </c>
      <c r="H21" s="22">
        <f t="shared" ref="H21:H26" si="5">(MIN(F21,G21))/1000</f>
        <v>2743.2</v>
      </c>
      <c r="I21" s="31">
        <v>0.93679999999999997</v>
      </c>
      <c r="J21" s="32">
        <f t="shared" ref="J21:J26" si="6">H21*I21</f>
        <v>2569.8297599999996</v>
      </c>
    </row>
    <row r="22" spans="2:16" x14ac:dyDescent="0.25">
      <c r="B22" s="39">
        <v>44980</v>
      </c>
      <c r="C22" s="52">
        <v>45009</v>
      </c>
      <c r="D22" s="154">
        <v>2325200</v>
      </c>
      <c r="E22" s="3">
        <v>9500</v>
      </c>
      <c r="F22" s="15">
        <f t="shared" si="4"/>
        <v>2315700</v>
      </c>
      <c r="G22" s="21">
        <v>2315800</v>
      </c>
      <c r="H22" s="22">
        <f t="shared" si="5"/>
        <v>2315.6999999999998</v>
      </c>
      <c r="I22" s="31">
        <v>0.93679999999999997</v>
      </c>
      <c r="J22" s="32">
        <f t="shared" si="6"/>
        <v>2169.3477599999997</v>
      </c>
    </row>
    <row r="23" spans="2:16" x14ac:dyDescent="0.25">
      <c r="B23" s="38">
        <v>45009</v>
      </c>
      <c r="C23" s="51">
        <v>45016</v>
      </c>
      <c r="D23" s="154">
        <v>654600</v>
      </c>
      <c r="E23" s="3">
        <v>2200</v>
      </c>
      <c r="F23" s="15">
        <f t="shared" si="4"/>
        <v>652400</v>
      </c>
      <c r="G23" s="21">
        <v>652300</v>
      </c>
      <c r="H23" s="22">
        <f t="shared" si="5"/>
        <v>652.29999999999995</v>
      </c>
      <c r="I23" s="31">
        <v>0.93679999999999997</v>
      </c>
      <c r="J23" s="32">
        <f t="shared" si="6"/>
        <v>611.07463999999993</v>
      </c>
    </row>
    <row r="24" spans="2:16" x14ac:dyDescent="0.25">
      <c r="B24" s="38">
        <v>45017</v>
      </c>
      <c r="C24" s="51">
        <v>45047</v>
      </c>
      <c r="D24" s="154">
        <v>2374200</v>
      </c>
      <c r="E24" s="30">
        <v>9100</v>
      </c>
      <c r="F24" s="15">
        <f t="shared" si="4"/>
        <v>2365100</v>
      </c>
      <c r="G24" s="21">
        <v>2365100</v>
      </c>
      <c r="H24" s="22">
        <f t="shared" si="5"/>
        <v>2365.1</v>
      </c>
      <c r="I24" s="31">
        <v>0.93679999999999997</v>
      </c>
      <c r="J24" s="32">
        <f t="shared" si="6"/>
        <v>2215.6256799999996</v>
      </c>
    </row>
    <row r="25" spans="2:16" x14ac:dyDescent="0.25">
      <c r="B25" s="39">
        <v>45047</v>
      </c>
      <c r="C25" s="52">
        <v>45078</v>
      </c>
      <c r="D25" s="154">
        <v>2808800</v>
      </c>
      <c r="E25" s="30">
        <v>9500</v>
      </c>
      <c r="F25" s="15">
        <f t="shared" si="4"/>
        <v>2799300</v>
      </c>
      <c r="G25" s="21">
        <v>2799300</v>
      </c>
      <c r="H25" s="22">
        <f t="shared" si="5"/>
        <v>2799.3</v>
      </c>
      <c r="I25" s="31">
        <v>0.93679999999999997</v>
      </c>
      <c r="J25" s="32">
        <f t="shared" si="6"/>
        <v>2622.3842399999999</v>
      </c>
    </row>
    <row r="26" spans="2:16" ht="15.75" thickBot="1" x14ac:dyDescent="0.3">
      <c r="B26" s="40">
        <v>44713</v>
      </c>
      <c r="C26" s="53">
        <v>45107</v>
      </c>
      <c r="D26" s="254">
        <f>D34</f>
        <v>2414764.5161290322</v>
      </c>
      <c r="E26" s="197">
        <f>E34</f>
        <v>8512.9032258064526</v>
      </c>
      <c r="F26" s="200">
        <f t="shared" si="4"/>
        <v>2406251.6129032257</v>
      </c>
      <c r="G26" s="33">
        <v>2572600</v>
      </c>
      <c r="H26" s="22">
        <f t="shared" si="5"/>
        <v>2406.2516129032256</v>
      </c>
      <c r="I26" s="41">
        <v>0.93679999999999997</v>
      </c>
      <c r="J26" s="42">
        <f t="shared" si="6"/>
        <v>2254.1765109677417</v>
      </c>
    </row>
    <row r="27" spans="2:16" ht="15.75" thickBot="1" x14ac:dyDescent="0.3">
      <c r="B27" s="330" t="s">
        <v>71</v>
      </c>
      <c r="C27" s="331"/>
      <c r="D27" s="241">
        <f>SUM(D20:D26)</f>
        <v>15560464.516129032</v>
      </c>
      <c r="E27" s="62">
        <f>SUM(E20:E26)</f>
        <v>60012.903225806454</v>
      </c>
      <c r="F27" s="50">
        <f>SUM(F20:F26)</f>
        <v>15500451.612903226</v>
      </c>
      <c r="G27" s="62">
        <f>SUM(G20:G26)</f>
        <v>15667000</v>
      </c>
      <c r="H27" s="62">
        <f>SUM(H20:H26)</f>
        <v>15500.251612903226</v>
      </c>
      <c r="I27" s="54">
        <v>0.93679999999999997</v>
      </c>
      <c r="J27" s="55">
        <f>ROUNDDOWN(H27*I27,0)</f>
        <v>14520</v>
      </c>
    </row>
    <row r="28" spans="2:16" ht="15.75" thickBot="1" x14ac:dyDescent="0.3">
      <c r="B28" s="345" t="s">
        <v>3</v>
      </c>
      <c r="C28" s="346"/>
      <c r="D28" s="89">
        <f>D27+D19</f>
        <v>34478064.516129032</v>
      </c>
      <c r="E28" s="90">
        <f>E19+E27</f>
        <v>149912.90322580645</v>
      </c>
      <c r="F28" s="78">
        <f>F27+F19</f>
        <v>34328151.612903222</v>
      </c>
      <c r="G28" s="58">
        <f>G27+G19</f>
        <v>35085740</v>
      </c>
      <c r="H28" s="58">
        <f>SUM(H19+H27)</f>
        <v>34327.951612903227</v>
      </c>
      <c r="I28" s="59">
        <v>0.93679999999999997</v>
      </c>
      <c r="J28" s="60">
        <f>ROUNDDOWN(SUM(J19+J27),0)</f>
        <v>32157</v>
      </c>
      <c r="L28" s="306">
        <v>45078</v>
      </c>
      <c r="M28" s="307"/>
      <c r="N28" s="307"/>
      <c r="O28" s="307"/>
      <c r="P28" s="308"/>
    </row>
    <row r="29" spans="2:16" ht="15.75" thickBot="1" x14ac:dyDescent="0.3">
      <c r="L29" s="5"/>
      <c r="M29" s="3"/>
      <c r="N29" s="3"/>
      <c r="O29" s="3" t="s">
        <v>131</v>
      </c>
      <c r="P29" s="3" t="s">
        <v>139</v>
      </c>
    </row>
    <row r="30" spans="2:16" x14ac:dyDescent="0.25">
      <c r="B30" s="212">
        <v>44644</v>
      </c>
      <c r="C30" s="217">
        <v>44652</v>
      </c>
      <c r="D30" s="220">
        <v>593400</v>
      </c>
      <c r="E30" s="211">
        <v>2400</v>
      </c>
      <c r="F30" s="196" t="s">
        <v>133</v>
      </c>
      <c r="L30" s="5"/>
      <c r="M30" s="3" t="s">
        <v>127</v>
      </c>
      <c r="N30" s="30">
        <v>2581300</v>
      </c>
      <c r="O30" s="96">
        <f>N30/N32</f>
        <v>83267.741935483864</v>
      </c>
      <c r="P30" s="96">
        <f>O30*N33</f>
        <v>2414764.5161290322</v>
      </c>
    </row>
    <row r="31" spans="2:16" ht="15.75" thickBot="1" x14ac:dyDescent="0.3">
      <c r="B31" s="218">
        <v>44652</v>
      </c>
      <c r="C31" s="216">
        <v>44676</v>
      </c>
      <c r="D31" s="220">
        <v>1858600</v>
      </c>
      <c r="E31" s="211">
        <v>7600</v>
      </c>
      <c r="L31" s="5"/>
      <c r="M31" s="3" t="s">
        <v>128</v>
      </c>
      <c r="N31" s="30">
        <v>9100</v>
      </c>
      <c r="O31" s="96">
        <f>N31/N32</f>
        <v>293.54838709677421</v>
      </c>
      <c r="P31" s="96">
        <f>O31*N33</f>
        <v>8512.9032258064526</v>
      </c>
    </row>
    <row r="32" spans="2:16" x14ac:dyDescent="0.25">
      <c r="L32" s="5"/>
      <c r="M32" s="3" t="s">
        <v>129</v>
      </c>
      <c r="N32" s="3">
        <f>C33-B33</f>
        <v>31</v>
      </c>
      <c r="O32" s="3"/>
      <c r="P32" s="3"/>
    </row>
    <row r="33" spans="2:16" x14ac:dyDescent="0.25">
      <c r="B33" s="201">
        <v>45078</v>
      </c>
      <c r="C33" s="201">
        <v>45109</v>
      </c>
      <c r="D33" s="188">
        <v>2581300</v>
      </c>
      <c r="E33" s="189">
        <v>9100</v>
      </c>
      <c r="L33" s="5"/>
      <c r="M33" s="3" t="s">
        <v>130</v>
      </c>
      <c r="N33" s="3">
        <f>C34-B34</f>
        <v>29</v>
      </c>
      <c r="O33" s="3"/>
      <c r="P33" s="3"/>
    </row>
    <row r="34" spans="2:16" x14ac:dyDescent="0.25">
      <c r="B34" s="201">
        <v>45078</v>
      </c>
      <c r="C34" s="201">
        <v>45107</v>
      </c>
      <c r="D34" s="195">
        <f>P30</f>
        <v>2414764.5161290322</v>
      </c>
      <c r="E34" s="197">
        <f>P31</f>
        <v>8512.9032258064526</v>
      </c>
    </row>
    <row r="35" spans="2:16" ht="15.75" thickBot="1" x14ac:dyDescent="0.3"/>
    <row r="36" spans="2:16" ht="15.75" thickBot="1" x14ac:dyDescent="0.3">
      <c r="B36" s="324" t="s">
        <v>67</v>
      </c>
      <c r="C36" s="325"/>
      <c r="D36" s="387" t="s">
        <v>37</v>
      </c>
      <c r="E36" s="388"/>
      <c r="F36" s="389"/>
      <c r="G36" s="377" t="s">
        <v>88</v>
      </c>
      <c r="H36" s="378"/>
      <c r="I36" s="378"/>
      <c r="J36" s="379"/>
    </row>
    <row r="37" spans="2:16" ht="15.75" thickBot="1" x14ac:dyDescent="0.3">
      <c r="B37" s="326" t="s">
        <v>31</v>
      </c>
      <c r="C37" s="327"/>
      <c r="D37" s="332" t="s">
        <v>29</v>
      </c>
      <c r="E37" s="342"/>
      <c r="F37" s="343"/>
      <c r="G37" s="380"/>
      <c r="H37" s="381"/>
      <c r="I37" s="381"/>
      <c r="J37" s="382"/>
    </row>
    <row r="38" spans="2:16" ht="15.75" thickBot="1" x14ac:dyDescent="0.3">
      <c r="B38" s="328" t="s">
        <v>74</v>
      </c>
      <c r="C38" s="329"/>
      <c r="D38" s="337" t="s">
        <v>95</v>
      </c>
      <c r="E38" s="338"/>
      <c r="F38" s="339"/>
      <c r="G38" s="64"/>
      <c r="H38" s="64"/>
      <c r="I38" s="64"/>
      <c r="J38" s="65"/>
    </row>
    <row r="39" spans="2:16" ht="30.75" thickBot="1" x14ac:dyDescent="0.3">
      <c r="B39" s="326" t="s">
        <v>0</v>
      </c>
      <c r="C39" s="327"/>
      <c r="D39" s="43" t="s">
        <v>72</v>
      </c>
      <c r="E39" s="44" t="s">
        <v>73</v>
      </c>
      <c r="F39" s="61" t="s">
        <v>64</v>
      </c>
      <c r="G39" s="44" t="s">
        <v>100</v>
      </c>
      <c r="H39" s="272" t="s">
        <v>69</v>
      </c>
      <c r="I39" s="44" t="s">
        <v>1</v>
      </c>
      <c r="J39" s="45" t="s">
        <v>2</v>
      </c>
      <c r="L39" s="3"/>
      <c r="M39" s="3"/>
      <c r="N39" s="3" t="s">
        <v>131</v>
      </c>
      <c r="O39" s="3" t="s">
        <v>132</v>
      </c>
    </row>
    <row r="40" spans="2:16" x14ac:dyDescent="0.25">
      <c r="B40" s="38">
        <v>44652</v>
      </c>
      <c r="C40" s="51">
        <v>44676</v>
      </c>
      <c r="D40" s="195">
        <f>D61</f>
        <v>1756491.9354838708</v>
      </c>
      <c r="E40" s="197">
        <f>E61</f>
        <v>5935.4838709677415</v>
      </c>
      <c r="F40" s="190">
        <f>D40-E40</f>
        <v>1750556.451612903</v>
      </c>
      <c r="G40" s="22">
        <v>2170690</v>
      </c>
      <c r="H40" s="22">
        <f>(MIN(F40,G40))/1000</f>
        <v>1750.5564516129029</v>
      </c>
      <c r="I40" s="35">
        <v>0.93679999999999997</v>
      </c>
      <c r="J40" s="36">
        <f>H40*I40</f>
        <v>1639.9212838709675</v>
      </c>
      <c r="L40" s="3" t="s">
        <v>127</v>
      </c>
      <c r="M40" s="3">
        <v>2178050</v>
      </c>
      <c r="N40" s="3">
        <f>M40/M42</f>
        <v>70259.677419354834</v>
      </c>
      <c r="O40" s="3">
        <f>N40*M43</f>
        <v>1756491.9354838708</v>
      </c>
    </row>
    <row r="41" spans="2:16" x14ac:dyDescent="0.25">
      <c r="B41" s="39">
        <v>44676</v>
      </c>
      <c r="C41" s="52">
        <v>44706</v>
      </c>
      <c r="D41" s="46">
        <v>2188700</v>
      </c>
      <c r="E41" s="30">
        <v>7030</v>
      </c>
      <c r="F41" s="15">
        <f t="shared" ref="F41:F48" si="7">D41-E41</f>
        <v>2181670</v>
      </c>
      <c r="G41" s="21">
        <v>2181670</v>
      </c>
      <c r="H41" s="22">
        <f t="shared" ref="H41:H48" si="8">(MIN(F41,G41))/1000</f>
        <v>2181.67</v>
      </c>
      <c r="I41" s="34">
        <v>0.93679999999999997</v>
      </c>
      <c r="J41" s="32">
        <f t="shared" ref="J41:J48" si="9">H41*I41</f>
        <v>2043.788456</v>
      </c>
      <c r="L41" s="3" t="s">
        <v>128</v>
      </c>
      <c r="M41" s="3">
        <v>7360</v>
      </c>
      <c r="N41" s="3">
        <f>M41/M42</f>
        <v>237.41935483870967</v>
      </c>
      <c r="O41" s="3">
        <f>N41*M43</f>
        <v>5935.4838709677415</v>
      </c>
    </row>
    <row r="42" spans="2:16" x14ac:dyDescent="0.25">
      <c r="B42" s="38">
        <v>44706</v>
      </c>
      <c r="C42" s="51">
        <v>44737</v>
      </c>
      <c r="D42" s="46">
        <v>2142230</v>
      </c>
      <c r="E42" s="30">
        <v>7030</v>
      </c>
      <c r="F42" s="15">
        <f t="shared" si="7"/>
        <v>2135200</v>
      </c>
      <c r="G42" s="21">
        <v>2135200</v>
      </c>
      <c r="H42" s="22">
        <f t="shared" si="8"/>
        <v>2135.1999999999998</v>
      </c>
      <c r="I42" s="31">
        <v>0.93679999999999997</v>
      </c>
      <c r="J42" s="32">
        <f t="shared" si="9"/>
        <v>2000.2553599999997</v>
      </c>
      <c r="L42" s="3" t="s">
        <v>129</v>
      </c>
      <c r="M42" s="3">
        <f>C60-B60</f>
        <v>31</v>
      </c>
      <c r="N42" s="3"/>
      <c r="O42" s="3"/>
    </row>
    <row r="43" spans="2:16" x14ac:dyDescent="0.25">
      <c r="B43" s="39">
        <v>44737</v>
      </c>
      <c r="C43" s="52">
        <v>44766</v>
      </c>
      <c r="D43" s="46">
        <v>1325980</v>
      </c>
      <c r="E43" s="30">
        <v>6690</v>
      </c>
      <c r="F43" s="15">
        <f t="shared" si="7"/>
        <v>1319290</v>
      </c>
      <c r="G43" s="21">
        <v>1319290</v>
      </c>
      <c r="H43" s="22">
        <f t="shared" si="8"/>
        <v>1319.29</v>
      </c>
      <c r="I43" s="31">
        <v>0.93679999999999997</v>
      </c>
      <c r="J43" s="32">
        <f t="shared" si="9"/>
        <v>1235.9108719999999</v>
      </c>
      <c r="L43" s="3" t="s">
        <v>130</v>
      </c>
      <c r="M43" s="3">
        <f>C61-B61+1</f>
        <v>25</v>
      </c>
      <c r="N43" s="3"/>
      <c r="O43" s="3"/>
    </row>
    <row r="44" spans="2:16" x14ac:dyDescent="0.25">
      <c r="B44" s="38">
        <v>44766</v>
      </c>
      <c r="C44" s="51">
        <v>44798</v>
      </c>
      <c r="D44" s="46">
        <v>1817530</v>
      </c>
      <c r="E44" s="30">
        <v>7520</v>
      </c>
      <c r="F44" s="15">
        <f t="shared" si="7"/>
        <v>1810010</v>
      </c>
      <c r="G44" s="21">
        <v>1810000</v>
      </c>
      <c r="H44" s="22">
        <f t="shared" si="8"/>
        <v>1810</v>
      </c>
      <c r="I44" s="34">
        <v>0.93679999999999997</v>
      </c>
      <c r="J44" s="32">
        <f t="shared" si="9"/>
        <v>1695.6079999999999</v>
      </c>
    </row>
    <row r="45" spans="2:16" x14ac:dyDescent="0.25">
      <c r="B45" s="39">
        <v>44798</v>
      </c>
      <c r="C45" s="52">
        <v>44830</v>
      </c>
      <c r="D45" s="46">
        <v>1797180</v>
      </c>
      <c r="E45" s="14">
        <v>7640</v>
      </c>
      <c r="F45" s="15">
        <f t="shared" si="7"/>
        <v>1789540</v>
      </c>
      <c r="G45" s="21">
        <v>1789550</v>
      </c>
      <c r="H45" s="22">
        <f t="shared" si="8"/>
        <v>1789.54</v>
      </c>
      <c r="I45" s="31">
        <v>0.93679999999999997</v>
      </c>
      <c r="J45" s="32">
        <f t="shared" si="9"/>
        <v>1676.4410719999998</v>
      </c>
    </row>
    <row r="46" spans="2:16" x14ac:dyDescent="0.25">
      <c r="B46" s="38">
        <v>44830</v>
      </c>
      <c r="C46" s="51">
        <v>44859</v>
      </c>
      <c r="D46" s="46">
        <v>1690760</v>
      </c>
      <c r="E46" s="30">
        <v>6940</v>
      </c>
      <c r="F46" s="15">
        <f t="shared" si="7"/>
        <v>1683820</v>
      </c>
      <c r="G46" s="21">
        <v>1683810</v>
      </c>
      <c r="H46" s="22">
        <f t="shared" si="8"/>
        <v>1683.81</v>
      </c>
      <c r="I46" s="31">
        <v>0.93679999999999997</v>
      </c>
      <c r="J46" s="32">
        <f t="shared" si="9"/>
        <v>1577.393208</v>
      </c>
    </row>
    <row r="47" spans="2:16" x14ac:dyDescent="0.25">
      <c r="B47" s="39">
        <v>44859</v>
      </c>
      <c r="C47" s="52">
        <v>44890</v>
      </c>
      <c r="D47" s="46">
        <v>2204940</v>
      </c>
      <c r="E47" s="30">
        <v>7660</v>
      </c>
      <c r="F47" s="15">
        <f t="shared" si="7"/>
        <v>2197280</v>
      </c>
      <c r="G47" s="21">
        <v>2197290</v>
      </c>
      <c r="H47" s="22">
        <f t="shared" si="8"/>
        <v>2197.2800000000002</v>
      </c>
      <c r="I47" s="34">
        <v>0.93679999999999997</v>
      </c>
      <c r="J47" s="32">
        <f t="shared" si="9"/>
        <v>2058.411904</v>
      </c>
      <c r="L47" s="7"/>
    </row>
    <row r="48" spans="2:16" ht="15.75" thickBot="1" x14ac:dyDescent="0.3">
      <c r="B48" s="38">
        <v>44890</v>
      </c>
      <c r="C48" s="51">
        <v>44922</v>
      </c>
      <c r="D48" s="47">
        <v>2100750</v>
      </c>
      <c r="E48" s="30">
        <v>8140</v>
      </c>
      <c r="F48" s="15">
        <f t="shared" si="7"/>
        <v>2092610</v>
      </c>
      <c r="G48" s="33">
        <v>2092610</v>
      </c>
      <c r="H48" s="22">
        <f t="shared" si="8"/>
        <v>2092.61</v>
      </c>
      <c r="I48" s="41">
        <v>0.93679999999999997</v>
      </c>
      <c r="J48" s="42">
        <f t="shared" si="9"/>
        <v>1960.3570480000001</v>
      </c>
    </row>
    <row r="49" spans="2:16" ht="15.75" thickBot="1" x14ac:dyDescent="0.3">
      <c r="B49" s="330" t="s">
        <v>70</v>
      </c>
      <c r="C49" s="331"/>
      <c r="D49" s="48">
        <f>SUM(D40:D48)</f>
        <v>17024561.935483873</v>
      </c>
      <c r="E49" s="49">
        <f t="shared" ref="E49:H49" si="10">SUM(E40:E48)</f>
        <v>64585.483870967742</v>
      </c>
      <c r="F49" s="50">
        <f t="shared" si="10"/>
        <v>16959976.451612905</v>
      </c>
      <c r="G49" s="49">
        <f t="shared" si="10"/>
        <v>17380110</v>
      </c>
      <c r="H49" s="49">
        <f t="shared" si="10"/>
        <v>16959.956451612903</v>
      </c>
      <c r="I49" s="54">
        <v>0.93679999999999997</v>
      </c>
      <c r="J49" s="55">
        <f>ROUNDDOWN(H49*I49,0)</f>
        <v>15888</v>
      </c>
    </row>
    <row r="50" spans="2:16" x14ac:dyDescent="0.25">
      <c r="B50" s="38">
        <v>44922</v>
      </c>
      <c r="C50" s="51">
        <v>44951</v>
      </c>
      <c r="D50" s="37">
        <v>2189260</v>
      </c>
      <c r="E50" s="14">
        <v>7300</v>
      </c>
      <c r="F50" s="15">
        <f>D50-E50</f>
        <v>2181960</v>
      </c>
      <c r="G50" s="22">
        <v>2181960</v>
      </c>
      <c r="H50" s="22">
        <f>(MIN(F50,G50))/1000</f>
        <v>2181.96</v>
      </c>
      <c r="I50" s="35">
        <v>0.93679999999999997</v>
      </c>
      <c r="J50" s="36">
        <f>H50*I50</f>
        <v>2044.0601279999998</v>
      </c>
    </row>
    <row r="51" spans="2:16" x14ac:dyDescent="0.25">
      <c r="B51" s="39">
        <v>44951</v>
      </c>
      <c r="C51" s="52">
        <v>44982</v>
      </c>
      <c r="D51" s="46">
        <v>2637260</v>
      </c>
      <c r="E51" s="30">
        <v>7430</v>
      </c>
      <c r="F51" s="15">
        <f t="shared" ref="F51:F56" si="11">D51-E51</f>
        <v>2629830</v>
      </c>
      <c r="G51" s="21">
        <v>2629830</v>
      </c>
      <c r="H51" s="22">
        <f t="shared" ref="H51:H56" si="12">(MIN(F51,G51))/1000</f>
        <v>2629.83</v>
      </c>
      <c r="I51" s="31">
        <v>0.93679999999999997</v>
      </c>
      <c r="J51" s="32">
        <f t="shared" ref="J51:J56" si="13">H51*I51</f>
        <v>2463.6247439999997</v>
      </c>
    </row>
    <row r="52" spans="2:16" x14ac:dyDescent="0.25">
      <c r="B52" s="39">
        <v>44982</v>
      </c>
      <c r="C52" s="52">
        <v>45010</v>
      </c>
      <c r="D52" s="46">
        <v>2141990</v>
      </c>
      <c r="E52" s="30">
        <v>6680</v>
      </c>
      <c r="F52" s="15">
        <f t="shared" si="11"/>
        <v>2135310</v>
      </c>
      <c r="G52" s="225">
        <v>2135310</v>
      </c>
      <c r="H52" s="263">
        <f t="shared" si="12"/>
        <v>2135.31</v>
      </c>
      <c r="I52" s="31">
        <v>0.93679999999999997</v>
      </c>
      <c r="J52" s="32">
        <f t="shared" si="13"/>
        <v>2000.3584079999998</v>
      </c>
    </row>
    <row r="53" spans="2:16" x14ac:dyDescent="0.25">
      <c r="B53" s="52">
        <v>45010</v>
      </c>
      <c r="C53" s="39">
        <v>45017</v>
      </c>
      <c r="D53" s="46">
        <v>603930</v>
      </c>
      <c r="E53" s="30">
        <v>12640</v>
      </c>
      <c r="F53" s="15">
        <f t="shared" si="11"/>
        <v>591290</v>
      </c>
      <c r="G53" s="225">
        <v>601410</v>
      </c>
      <c r="H53" s="263">
        <f t="shared" si="12"/>
        <v>591.29</v>
      </c>
      <c r="I53" s="31">
        <v>0.93679999999999997</v>
      </c>
      <c r="J53" s="32">
        <f t="shared" si="13"/>
        <v>553.9204719999999</v>
      </c>
    </row>
    <row r="54" spans="2:16" x14ac:dyDescent="0.25">
      <c r="B54" s="39">
        <v>45017</v>
      </c>
      <c r="C54" s="52">
        <v>45047</v>
      </c>
      <c r="D54" s="46">
        <v>2241630</v>
      </c>
      <c r="E54" s="30">
        <v>6770</v>
      </c>
      <c r="F54" s="15">
        <f t="shared" si="11"/>
        <v>2234860</v>
      </c>
      <c r="G54" s="225">
        <v>2234860</v>
      </c>
      <c r="H54" s="263">
        <f t="shared" si="12"/>
        <v>2234.86</v>
      </c>
      <c r="I54" s="31">
        <v>0.93679999999999997</v>
      </c>
      <c r="J54" s="32">
        <f t="shared" si="13"/>
        <v>2093.6168480000001</v>
      </c>
    </row>
    <row r="55" spans="2:16" x14ac:dyDescent="0.25">
      <c r="B55" s="39">
        <v>45047</v>
      </c>
      <c r="C55" s="52">
        <v>45078</v>
      </c>
      <c r="D55" s="46">
        <v>2445890</v>
      </c>
      <c r="E55" s="30">
        <v>6920</v>
      </c>
      <c r="F55" s="15">
        <f t="shared" si="11"/>
        <v>2438970</v>
      </c>
      <c r="G55" s="21">
        <v>2438970</v>
      </c>
      <c r="H55" s="22">
        <f t="shared" si="12"/>
        <v>2438.9699999999998</v>
      </c>
      <c r="I55" s="31">
        <v>0.93679999999999997</v>
      </c>
      <c r="J55" s="32">
        <f t="shared" si="13"/>
        <v>2284.8270959999995</v>
      </c>
    </row>
    <row r="56" spans="2:16" ht="15.75" thickBot="1" x14ac:dyDescent="0.3">
      <c r="B56" s="39">
        <v>45078</v>
      </c>
      <c r="C56" s="52">
        <v>45107</v>
      </c>
      <c r="D56" s="254">
        <f>D64</f>
        <v>2070455</v>
      </c>
      <c r="E56" s="197">
        <f>E64</f>
        <v>6283.333333333333</v>
      </c>
      <c r="F56" s="190">
        <f t="shared" si="11"/>
        <v>2064171.6666666667</v>
      </c>
      <c r="G56" s="33">
        <v>2135350</v>
      </c>
      <c r="H56" s="22">
        <f t="shared" si="12"/>
        <v>2064.1716666666666</v>
      </c>
      <c r="I56" s="41">
        <v>0.93679999999999997</v>
      </c>
      <c r="J56" s="42">
        <f t="shared" si="13"/>
        <v>1933.7160173333332</v>
      </c>
      <c r="M56" s="186"/>
      <c r="N56" s="238"/>
    </row>
    <row r="57" spans="2:16" ht="15.75" thickBot="1" x14ac:dyDescent="0.3">
      <c r="B57" s="330" t="s">
        <v>71</v>
      </c>
      <c r="C57" s="331"/>
      <c r="D57" s="48">
        <f>SUM(D50:D56)</f>
        <v>14330415</v>
      </c>
      <c r="E57" s="62">
        <f>SUM(E50:E56)</f>
        <v>54023.333333333336</v>
      </c>
      <c r="F57" s="50">
        <f>SUM(F50:F56)</f>
        <v>14276391.666666666</v>
      </c>
      <c r="G57" s="62">
        <f>SUM(G50:G56)</f>
        <v>14357690</v>
      </c>
      <c r="H57" s="62">
        <f>SUM(H50:H56)</f>
        <v>14276.391666666666</v>
      </c>
      <c r="I57" s="54">
        <v>0.93679999999999997</v>
      </c>
      <c r="J57" s="55">
        <f>ROUNDDOWN(H57*I57,0)</f>
        <v>13374</v>
      </c>
    </row>
    <row r="58" spans="2:16" ht="15.75" thickBot="1" x14ac:dyDescent="0.3">
      <c r="B58" s="345" t="s">
        <v>3</v>
      </c>
      <c r="C58" s="346"/>
      <c r="D58" s="89">
        <f>D57+D49</f>
        <v>31354976.935483873</v>
      </c>
      <c r="E58" s="90">
        <f>E49+E57</f>
        <v>118608.81720430107</v>
      </c>
      <c r="F58" s="78">
        <f>F57+F49</f>
        <v>31236368.118279569</v>
      </c>
      <c r="G58" s="58">
        <f>G57+G49</f>
        <v>31737800</v>
      </c>
      <c r="H58" s="58">
        <f>SUM(H49+H57)</f>
        <v>31236.348118279569</v>
      </c>
      <c r="I58" s="59">
        <v>0.93679999999999997</v>
      </c>
      <c r="J58" s="60">
        <f>ROUNDDOWN(SUM(J49+J57),0)</f>
        <v>29262</v>
      </c>
    </row>
    <row r="59" spans="2:16" ht="15.75" thickBot="1" x14ac:dyDescent="0.3">
      <c r="B59" s="191"/>
      <c r="C59" s="191"/>
      <c r="D59" s="192"/>
      <c r="E59" s="192"/>
      <c r="F59" s="192"/>
      <c r="G59" s="193"/>
      <c r="H59" s="193"/>
      <c r="I59" s="194"/>
      <c r="J59" s="193"/>
      <c r="L59" s="306">
        <v>45078</v>
      </c>
      <c r="M59" s="307"/>
      <c r="N59" s="307"/>
      <c r="O59" s="307"/>
      <c r="P59" s="308"/>
    </row>
    <row r="60" spans="2:16" x14ac:dyDescent="0.25">
      <c r="B60" s="212">
        <v>44645</v>
      </c>
      <c r="C60" s="217">
        <v>44676</v>
      </c>
      <c r="D60" s="188">
        <v>2178050</v>
      </c>
      <c r="E60" s="189">
        <v>7360</v>
      </c>
      <c r="L60" s="5"/>
      <c r="M60" s="3"/>
      <c r="N60" s="3"/>
      <c r="O60" s="3" t="s">
        <v>131</v>
      </c>
      <c r="P60" s="3" t="s">
        <v>139</v>
      </c>
    </row>
    <row r="61" spans="2:16" ht="15.75" thickBot="1" x14ac:dyDescent="0.3">
      <c r="B61" s="218">
        <v>44652</v>
      </c>
      <c r="C61" s="216">
        <v>44676</v>
      </c>
      <c r="D61" s="219">
        <f>O40</f>
        <v>1756491.9354838708</v>
      </c>
      <c r="E61" s="202">
        <f>O41</f>
        <v>5935.4838709677415</v>
      </c>
      <c r="L61" s="5"/>
      <c r="M61" s="3" t="s">
        <v>127</v>
      </c>
      <c r="N61" s="30">
        <v>2141850</v>
      </c>
      <c r="O61" s="96">
        <f>N61/N63</f>
        <v>71395</v>
      </c>
      <c r="P61" s="96">
        <f>O61*N64</f>
        <v>2070455</v>
      </c>
    </row>
    <row r="62" spans="2:16" x14ac:dyDescent="0.25">
      <c r="B62" s="235"/>
      <c r="C62" s="235"/>
      <c r="D62" s="7"/>
      <c r="E62" s="7"/>
      <c r="L62" s="5"/>
      <c r="M62" s="3" t="s">
        <v>128</v>
      </c>
      <c r="N62" s="30">
        <v>6500</v>
      </c>
      <c r="O62" s="96">
        <f>N62/N63</f>
        <v>216.66666666666666</v>
      </c>
      <c r="P62" s="96">
        <f>O62*N64</f>
        <v>6283.333333333333</v>
      </c>
    </row>
    <row r="63" spans="2:16" x14ac:dyDescent="0.25">
      <c r="B63" s="201">
        <v>45078</v>
      </c>
      <c r="C63" s="201">
        <v>45108</v>
      </c>
      <c r="D63" s="188">
        <v>2141850</v>
      </c>
      <c r="E63" s="189">
        <v>6500</v>
      </c>
      <c r="L63" s="5"/>
      <c r="M63" s="3" t="s">
        <v>129</v>
      </c>
      <c r="N63" s="3">
        <f>C63-B63</f>
        <v>30</v>
      </c>
      <c r="O63" s="3"/>
      <c r="P63" s="3"/>
    </row>
    <row r="64" spans="2:16" x14ac:dyDescent="0.25">
      <c r="B64" s="201">
        <v>45078</v>
      </c>
      <c r="C64" s="201">
        <v>45107</v>
      </c>
      <c r="D64" s="195">
        <f>P61</f>
        <v>2070455</v>
      </c>
      <c r="E64" s="197">
        <f>P62</f>
        <v>6283.333333333333</v>
      </c>
      <c r="L64" s="5"/>
      <c r="M64" s="3" t="s">
        <v>130</v>
      </c>
      <c r="N64" s="3">
        <f>C64-B64</f>
        <v>29</v>
      </c>
      <c r="O64" s="3"/>
      <c r="P64" s="3"/>
    </row>
    <row r="65" spans="2:10" ht="15.75" thickBot="1" x14ac:dyDescent="0.3"/>
    <row r="66" spans="2:10" ht="15.75" thickBot="1" x14ac:dyDescent="0.3">
      <c r="B66" s="324" t="s">
        <v>67</v>
      </c>
      <c r="C66" s="325"/>
      <c r="D66" s="324" t="s">
        <v>38</v>
      </c>
      <c r="E66" s="335"/>
      <c r="F66" s="336"/>
      <c r="G66" s="377" t="s">
        <v>88</v>
      </c>
      <c r="H66" s="378"/>
      <c r="I66" s="378"/>
      <c r="J66" s="379"/>
    </row>
    <row r="67" spans="2:10" ht="15.75" thickBot="1" x14ac:dyDescent="0.3">
      <c r="B67" s="326" t="s">
        <v>31</v>
      </c>
      <c r="C67" s="327"/>
      <c r="D67" s="332" t="s">
        <v>29</v>
      </c>
      <c r="E67" s="342"/>
      <c r="F67" s="343"/>
      <c r="G67" s="380"/>
      <c r="H67" s="381"/>
      <c r="I67" s="381"/>
      <c r="J67" s="382"/>
    </row>
    <row r="68" spans="2:10" ht="15.75" thickBot="1" x14ac:dyDescent="0.3">
      <c r="B68" s="328" t="s">
        <v>74</v>
      </c>
      <c r="C68" s="329"/>
      <c r="D68" s="337" t="s">
        <v>96</v>
      </c>
      <c r="E68" s="338"/>
      <c r="F68" s="339"/>
      <c r="G68" s="64"/>
      <c r="H68" s="64"/>
      <c r="I68" s="64"/>
      <c r="J68" s="65"/>
    </row>
    <row r="69" spans="2:10" ht="30.75" thickBot="1" x14ac:dyDescent="0.3">
      <c r="B69" s="326" t="s">
        <v>0</v>
      </c>
      <c r="C69" s="327"/>
      <c r="D69" s="43" t="s">
        <v>72</v>
      </c>
      <c r="E69" s="44" t="s">
        <v>73</v>
      </c>
      <c r="F69" s="61" t="s">
        <v>64</v>
      </c>
      <c r="G69" s="44" t="s">
        <v>100</v>
      </c>
      <c r="H69" s="272" t="s">
        <v>69</v>
      </c>
      <c r="I69" s="44" t="s">
        <v>1</v>
      </c>
      <c r="J69" s="45" t="s">
        <v>2</v>
      </c>
    </row>
    <row r="70" spans="2:10" x14ac:dyDescent="0.25">
      <c r="B70" s="38">
        <v>44652</v>
      </c>
      <c r="C70" s="51">
        <v>44674</v>
      </c>
      <c r="D70" s="188">
        <f>D91</f>
        <v>1356460</v>
      </c>
      <c r="E70" s="189">
        <f>E91</f>
        <v>4590</v>
      </c>
      <c r="F70" s="190">
        <f>D70-E70</f>
        <v>1351870</v>
      </c>
      <c r="G70" s="22">
        <v>1864580</v>
      </c>
      <c r="H70" s="22">
        <f>(MIN(F70,G70))/1000</f>
        <v>1351.87</v>
      </c>
      <c r="I70" s="35">
        <v>0.93679999999999997</v>
      </c>
      <c r="J70" s="36">
        <f>H70*I70</f>
        <v>1266.4318159999998</v>
      </c>
    </row>
    <row r="71" spans="2:10" x14ac:dyDescent="0.25">
      <c r="B71" s="39">
        <v>44674</v>
      </c>
      <c r="C71" s="52">
        <v>44705</v>
      </c>
      <c r="D71" s="46">
        <v>2014440</v>
      </c>
      <c r="E71" s="30">
        <v>6310</v>
      </c>
      <c r="F71" s="15">
        <f t="shared" ref="F71:F78" si="14">D71-E71</f>
        <v>2008130</v>
      </c>
      <c r="G71" s="21">
        <v>2008130</v>
      </c>
      <c r="H71" s="22">
        <f t="shared" ref="H71:H78" si="15">(MIN(F71,G71))/1000</f>
        <v>2008.13</v>
      </c>
      <c r="I71" s="34">
        <v>0.93679999999999997</v>
      </c>
      <c r="J71" s="32">
        <f t="shared" ref="J71:J78" si="16">H71*I71</f>
        <v>1881.2161840000001</v>
      </c>
    </row>
    <row r="72" spans="2:10" x14ac:dyDescent="0.25">
      <c r="B72" s="39">
        <v>44705</v>
      </c>
      <c r="C72" s="52">
        <v>44736</v>
      </c>
      <c r="D72" s="46">
        <v>1976030</v>
      </c>
      <c r="E72" s="30">
        <v>6210</v>
      </c>
      <c r="F72" s="15">
        <f t="shared" si="14"/>
        <v>1969820</v>
      </c>
      <c r="G72" s="21">
        <v>1969820</v>
      </c>
      <c r="H72" s="22">
        <f t="shared" si="15"/>
        <v>1969.82</v>
      </c>
      <c r="I72" s="31">
        <v>0.93679999999999997</v>
      </c>
      <c r="J72" s="32">
        <f t="shared" si="16"/>
        <v>1845.327376</v>
      </c>
    </row>
    <row r="73" spans="2:10" x14ac:dyDescent="0.25">
      <c r="B73" s="38">
        <v>44736</v>
      </c>
      <c r="C73" s="51">
        <v>44765</v>
      </c>
      <c r="D73" s="46">
        <v>1096940</v>
      </c>
      <c r="E73" s="30">
        <v>6000</v>
      </c>
      <c r="F73" s="15">
        <f t="shared" si="14"/>
        <v>1090940</v>
      </c>
      <c r="G73" s="21">
        <v>1090940</v>
      </c>
      <c r="H73" s="22">
        <f t="shared" si="15"/>
        <v>1090.94</v>
      </c>
      <c r="I73" s="31">
        <v>0.93679999999999997</v>
      </c>
      <c r="J73" s="32">
        <f t="shared" si="16"/>
        <v>1021.9925920000001</v>
      </c>
    </row>
    <row r="74" spans="2:10" x14ac:dyDescent="0.25">
      <c r="B74" s="39">
        <v>44765</v>
      </c>
      <c r="C74" s="52">
        <v>44798</v>
      </c>
      <c r="D74" s="46">
        <v>1562130</v>
      </c>
      <c r="E74" s="30">
        <v>6910</v>
      </c>
      <c r="F74" s="15">
        <f t="shared" si="14"/>
        <v>1555220</v>
      </c>
      <c r="G74" s="21">
        <v>1555220</v>
      </c>
      <c r="H74" s="22">
        <f t="shared" si="15"/>
        <v>1555.22</v>
      </c>
      <c r="I74" s="34">
        <v>0.93679999999999997</v>
      </c>
      <c r="J74" s="32">
        <f t="shared" si="16"/>
        <v>1456.930096</v>
      </c>
    </row>
    <row r="75" spans="2:10" x14ac:dyDescent="0.25">
      <c r="B75" s="38">
        <v>44798</v>
      </c>
      <c r="C75" s="51">
        <v>44827</v>
      </c>
      <c r="D75" s="255">
        <v>1390690</v>
      </c>
      <c r="E75" s="256">
        <v>6470</v>
      </c>
      <c r="F75" s="262">
        <f t="shared" si="14"/>
        <v>1384220</v>
      </c>
      <c r="G75" s="21">
        <v>1384210</v>
      </c>
      <c r="H75" s="22">
        <f t="shared" si="15"/>
        <v>1384.21</v>
      </c>
      <c r="I75" s="31">
        <v>0.93679999999999997</v>
      </c>
      <c r="J75" s="32">
        <f t="shared" si="16"/>
        <v>1296.727928</v>
      </c>
    </row>
    <row r="76" spans="2:10" x14ac:dyDescent="0.25">
      <c r="B76" s="239">
        <v>44827</v>
      </c>
      <c r="C76" s="240">
        <v>44856</v>
      </c>
      <c r="D76" s="154">
        <v>1472140</v>
      </c>
      <c r="E76" s="3">
        <v>6580</v>
      </c>
      <c r="F76" s="243">
        <f t="shared" si="14"/>
        <v>1465560</v>
      </c>
      <c r="G76" s="21">
        <v>1465570</v>
      </c>
      <c r="H76" s="22">
        <f t="shared" si="15"/>
        <v>1465.56</v>
      </c>
      <c r="I76" s="31">
        <v>0.93679999999999997</v>
      </c>
      <c r="J76" s="32">
        <f t="shared" si="16"/>
        <v>1372.936608</v>
      </c>
    </row>
    <row r="77" spans="2:10" x14ac:dyDescent="0.25">
      <c r="B77" s="38">
        <v>44856</v>
      </c>
      <c r="C77" s="51">
        <v>44888</v>
      </c>
      <c r="D77" s="46">
        <v>1880180</v>
      </c>
      <c r="E77" s="30">
        <v>7340</v>
      </c>
      <c r="F77" s="15">
        <f t="shared" si="14"/>
        <v>1872840</v>
      </c>
      <c r="G77" s="21">
        <v>1872830</v>
      </c>
      <c r="H77" s="22">
        <f t="shared" si="15"/>
        <v>1872.83</v>
      </c>
      <c r="I77" s="34">
        <v>0.93679999999999997</v>
      </c>
      <c r="J77" s="32">
        <f t="shared" si="16"/>
        <v>1754.467144</v>
      </c>
    </row>
    <row r="78" spans="2:10" ht="15.75" thickBot="1" x14ac:dyDescent="0.3">
      <c r="B78" s="39">
        <v>44888</v>
      </c>
      <c r="C78" s="52">
        <v>44918</v>
      </c>
      <c r="D78" s="47">
        <v>1525150</v>
      </c>
      <c r="E78" s="30">
        <v>7110</v>
      </c>
      <c r="F78" s="15">
        <f t="shared" si="14"/>
        <v>1518040</v>
      </c>
      <c r="G78" s="33">
        <v>1518040</v>
      </c>
      <c r="H78" s="22">
        <f t="shared" si="15"/>
        <v>1518.04</v>
      </c>
      <c r="I78" s="41">
        <v>0.93679999999999997</v>
      </c>
      <c r="J78" s="42">
        <f t="shared" si="16"/>
        <v>1422.099872</v>
      </c>
    </row>
    <row r="79" spans="2:10" ht="15.75" thickBot="1" x14ac:dyDescent="0.3">
      <c r="B79" s="330" t="s">
        <v>70</v>
      </c>
      <c r="C79" s="331"/>
      <c r="D79" s="48">
        <f>SUM(D70:D78)</f>
        <v>14274160</v>
      </c>
      <c r="E79" s="49">
        <f t="shared" ref="E79:H79" si="17">SUM(E70:E78)</f>
        <v>57520</v>
      </c>
      <c r="F79" s="50">
        <f t="shared" si="17"/>
        <v>14216640</v>
      </c>
      <c r="G79" s="49">
        <f t="shared" si="17"/>
        <v>14729340</v>
      </c>
      <c r="H79" s="49">
        <f t="shared" si="17"/>
        <v>14216.619999999999</v>
      </c>
      <c r="I79" s="54">
        <v>0.93679999999999997</v>
      </c>
      <c r="J79" s="55">
        <f>ROUNDDOWN(H79*I79,0)</f>
        <v>13318</v>
      </c>
    </row>
    <row r="80" spans="2:10" x14ac:dyDescent="0.25">
      <c r="B80" s="38">
        <v>44918</v>
      </c>
      <c r="C80" s="51">
        <v>44949</v>
      </c>
      <c r="D80" s="37">
        <v>1810150</v>
      </c>
      <c r="E80" s="14">
        <v>7070</v>
      </c>
      <c r="F80" s="15">
        <f>D80-E80</f>
        <v>1803080</v>
      </c>
      <c r="G80" s="22">
        <v>1803080</v>
      </c>
      <c r="H80" s="22">
        <f>(MIN(F80,G80))/1000</f>
        <v>1803.08</v>
      </c>
      <c r="I80" s="35">
        <v>0.93679999999999997</v>
      </c>
      <c r="J80" s="36">
        <f>H80*I80</f>
        <v>1689.1253439999998</v>
      </c>
    </row>
    <row r="81" spans="2:16" x14ac:dyDescent="0.25">
      <c r="B81" s="39">
        <v>44949</v>
      </c>
      <c r="C81" s="52">
        <v>44980</v>
      </c>
      <c r="D81" s="46">
        <v>2159880</v>
      </c>
      <c r="E81" s="30">
        <v>6520</v>
      </c>
      <c r="F81" s="15">
        <f t="shared" ref="F81:F86" si="18">D81-E81</f>
        <v>2153360</v>
      </c>
      <c r="G81" s="21">
        <v>2153370</v>
      </c>
      <c r="H81" s="22">
        <f t="shared" ref="H81:H86" si="19">(MIN(F81,G81))/1000</f>
        <v>2153.36</v>
      </c>
      <c r="I81" s="31">
        <v>0.93679999999999997</v>
      </c>
      <c r="J81" s="32">
        <f t="shared" ref="J81:J86" si="20">H81*I81</f>
        <v>2017.267648</v>
      </c>
    </row>
    <row r="82" spans="2:16" x14ac:dyDescent="0.25">
      <c r="B82" s="38">
        <v>44980</v>
      </c>
      <c r="C82" s="51">
        <v>45009</v>
      </c>
      <c r="D82" s="46">
        <v>1869170</v>
      </c>
      <c r="E82" s="30">
        <v>6170</v>
      </c>
      <c r="F82" s="15">
        <f t="shared" si="18"/>
        <v>1863000</v>
      </c>
      <c r="G82" s="225">
        <v>1863000</v>
      </c>
      <c r="H82" s="22">
        <f t="shared" si="19"/>
        <v>1863</v>
      </c>
      <c r="I82" s="31">
        <v>0.93679999999999997</v>
      </c>
      <c r="J82" s="32">
        <f>H82*I82</f>
        <v>1745.2583999999999</v>
      </c>
    </row>
    <row r="83" spans="2:16" x14ac:dyDescent="0.25">
      <c r="B83" s="51">
        <v>45008</v>
      </c>
      <c r="C83" s="39">
        <v>45016</v>
      </c>
      <c r="D83" s="46">
        <v>475060</v>
      </c>
      <c r="E83" s="30">
        <v>1520</v>
      </c>
      <c r="F83" s="15">
        <f t="shared" si="18"/>
        <v>473540</v>
      </c>
      <c r="G83" s="225">
        <v>473540</v>
      </c>
      <c r="H83" s="22">
        <f t="shared" si="19"/>
        <v>473.54</v>
      </c>
      <c r="I83" s="31">
        <v>0.93679999999999997</v>
      </c>
      <c r="J83" s="32">
        <f>H83*I83</f>
        <v>443.61227200000002</v>
      </c>
    </row>
    <row r="84" spans="2:16" x14ac:dyDescent="0.25">
      <c r="B84" s="39">
        <v>45016</v>
      </c>
      <c r="C84" s="52">
        <v>45047</v>
      </c>
      <c r="D84" s="46">
        <v>1940530</v>
      </c>
      <c r="E84" s="30">
        <v>9110</v>
      </c>
      <c r="F84" s="15">
        <f t="shared" si="18"/>
        <v>1931420</v>
      </c>
      <c r="G84" s="225">
        <v>1932710</v>
      </c>
      <c r="H84" s="22">
        <f t="shared" si="19"/>
        <v>1931.42</v>
      </c>
      <c r="I84" s="31">
        <v>0.93679999999999997</v>
      </c>
      <c r="J84" s="32">
        <f t="shared" si="20"/>
        <v>1809.3542560000001</v>
      </c>
    </row>
    <row r="85" spans="2:16" x14ac:dyDescent="0.25">
      <c r="B85" s="38">
        <v>45047</v>
      </c>
      <c r="C85" s="51">
        <v>45078</v>
      </c>
      <c r="D85" s="46">
        <v>2065000</v>
      </c>
      <c r="E85" s="30">
        <v>6130</v>
      </c>
      <c r="F85" s="15">
        <f t="shared" si="18"/>
        <v>2058870</v>
      </c>
      <c r="G85" s="21">
        <v>2058870</v>
      </c>
      <c r="H85" s="22">
        <f t="shared" si="19"/>
        <v>2058.87</v>
      </c>
      <c r="I85" s="31">
        <v>0.93679999999999997</v>
      </c>
      <c r="J85" s="32">
        <f t="shared" si="20"/>
        <v>1928.7494159999999</v>
      </c>
    </row>
    <row r="86" spans="2:16" ht="15.75" thickBot="1" x14ac:dyDescent="0.3">
      <c r="B86" s="39">
        <v>45078</v>
      </c>
      <c r="C86" s="52">
        <v>45107</v>
      </c>
      <c r="D86" s="254">
        <f>D94</f>
        <v>1900766.3333333335</v>
      </c>
      <c r="E86" s="197">
        <f>E94</f>
        <v>5664.666666666667</v>
      </c>
      <c r="F86" s="200">
        <f t="shared" si="18"/>
        <v>1895101.6666666667</v>
      </c>
      <c r="G86" s="33">
        <v>1960450</v>
      </c>
      <c r="H86" s="22">
        <f t="shared" si="19"/>
        <v>1895.1016666666667</v>
      </c>
      <c r="I86" s="41">
        <v>0.93679999999999997</v>
      </c>
      <c r="J86" s="42">
        <f t="shared" si="20"/>
        <v>1775.3312413333333</v>
      </c>
    </row>
    <row r="87" spans="2:16" ht="15.75" thickBot="1" x14ac:dyDescent="0.3">
      <c r="B87" s="330" t="s">
        <v>71</v>
      </c>
      <c r="C87" s="331"/>
      <c r="D87" s="84">
        <f>SUM(D80:D86)</f>
        <v>12220556.333333334</v>
      </c>
      <c r="E87" s="62">
        <f>SUM(E80:E86)</f>
        <v>42184.666666666664</v>
      </c>
      <c r="F87" s="50">
        <f>SUM(F80:F86)</f>
        <v>12178371.666666666</v>
      </c>
      <c r="G87" s="62">
        <f>SUM(G80:G86)</f>
        <v>12245020</v>
      </c>
      <c r="H87" s="62">
        <f>SUM(H80:H86)</f>
        <v>12178.371666666668</v>
      </c>
      <c r="I87" s="54">
        <v>0.93679999999999997</v>
      </c>
      <c r="J87" s="55">
        <f>ROUNDDOWN(H87*I87,0)</f>
        <v>11408</v>
      </c>
    </row>
    <row r="88" spans="2:16" ht="15.75" thickBot="1" x14ac:dyDescent="0.3">
      <c r="B88" s="345" t="s">
        <v>3</v>
      </c>
      <c r="C88" s="346"/>
      <c r="D88" s="89">
        <f>D87+D79</f>
        <v>26494716.333333336</v>
      </c>
      <c r="E88" s="90">
        <f>E79+E87</f>
        <v>99704.666666666657</v>
      </c>
      <c r="F88" s="78">
        <f>F87+F79</f>
        <v>26395011.666666664</v>
      </c>
      <c r="G88" s="58">
        <f>G87+G79</f>
        <v>26974360</v>
      </c>
      <c r="H88" s="58">
        <f>SUM(H79+H87)</f>
        <v>26394.991666666669</v>
      </c>
      <c r="I88" s="59">
        <v>0.93679999999999997</v>
      </c>
      <c r="J88" s="60">
        <f>ROUNDDOWN(SUM(J79+J87),0)</f>
        <v>24726</v>
      </c>
      <c r="L88" s="306">
        <v>45078</v>
      </c>
      <c r="M88" s="307"/>
      <c r="N88" s="307"/>
      <c r="O88" s="307"/>
      <c r="P88" s="308"/>
    </row>
    <row r="89" spans="2:16" ht="15.75" thickBot="1" x14ac:dyDescent="0.3">
      <c r="L89" s="5"/>
      <c r="M89" s="3"/>
      <c r="N89" s="3"/>
      <c r="O89" s="3" t="s">
        <v>131</v>
      </c>
      <c r="P89" s="3" t="s">
        <v>139</v>
      </c>
    </row>
    <row r="90" spans="2:16" x14ac:dyDescent="0.25">
      <c r="B90" s="212">
        <v>44644</v>
      </c>
      <c r="C90" s="213">
        <v>44652</v>
      </c>
      <c r="D90" s="214">
        <v>514280</v>
      </c>
      <c r="E90" s="211">
        <v>1570</v>
      </c>
      <c r="F90" s="196" t="s">
        <v>133</v>
      </c>
      <c r="L90" s="5"/>
      <c r="M90" s="3" t="s">
        <v>127</v>
      </c>
      <c r="N90" s="30">
        <v>1966310</v>
      </c>
      <c r="O90" s="96">
        <f>N90/N92</f>
        <v>65543.666666666672</v>
      </c>
      <c r="P90" s="96">
        <f>O90*N93</f>
        <v>1900766.3333333335</v>
      </c>
    </row>
    <row r="91" spans="2:16" ht="15.75" thickBot="1" x14ac:dyDescent="0.3">
      <c r="B91" s="215">
        <v>44652</v>
      </c>
      <c r="C91" s="216">
        <v>44674</v>
      </c>
      <c r="D91" s="214">
        <v>1356460</v>
      </c>
      <c r="E91" s="211">
        <v>4590</v>
      </c>
      <c r="L91" s="5"/>
      <c r="M91" s="3" t="s">
        <v>128</v>
      </c>
      <c r="N91" s="30">
        <v>5860</v>
      </c>
      <c r="O91" s="96">
        <f>N91/N92</f>
        <v>195.33333333333334</v>
      </c>
      <c r="P91" s="96">
        <f>O91*N93</f>
        <v>5664.666666666667</v>
      </c>
    </row>
    <row r="92" spans="2:16" x14ac:dyDescent="0.25">
      <c r="B92" s="242"/>
      <c r="C92" s="183"/>
      <c r="D92" s="185"/>
      <c r="E92" s="238"/>
      <c r="L92" s="5"/>
      <c r="M92" s="3" t="s">
        <v>129</v>
      </c>
      <c r="N92" s="3">
        <f>C93-B93</f>
        <v>30</v>
      </c>
      <c r="O92" s="3"/>
      <c r="P92" s="3"/>
    </row>
    <row r="93" spans="2:16" x14ac:dyDescent="0.25">
      <c r="B93" s="201">
        <v>45078</v>
      </c>
      <c r="C93" s="201">
        <v>45108</v>
      </c>
      <c r="D93" s="188">
        <v>1966310</v>
      </c>
      <c r="E93" s="189">
        <v>5860</v>
      </c>
      <c r="L93" s="5"/>
      <c r="M93" s="3" t="s">
        <v>130</v>
      </c>
      <c r="N93" s="3">
        <f>C94-B94</f>
        <v>29</v>
      </c>
      <c r="O93" s="3"/>
      <c r="P93" s="3"/>
    </row>
    <row r="94" spans="2:16" x14ac:dyDescent="0.25">
      <c r="B94" s="201">
        <v>45078</v>
      </c>
      <c r="C94" s="201">
        <v>45107</v>
      </c>
      <c r="D94" s="195">
        <f>P90</f>
        <v>1900766.3333333335</v>
      </c>
      <c r="E94" s="197">
        <f>P91</f>
        <v>5664.666666666667</v>
      </c>
    </row>
    <row r="95" spans="2:16" ht="15.75" thickBot="1" x14ac:dyDescent="0.3"/>
    <row r="96" spans="2:16" ht="15.75" thickBot="1" x14ac:dyDescent="0.3">
      <c r="B96" s="324" t="s">
        <v>67</v>
      </c>
      <c r="C96" s="325"/>
      <c r="D96" s="324" t="s">
        <v>39</v>
      </c>
      <c r="E96" s="335"/>
      <c r="F96" s="336"/>
      <c r="G96" s="377" t="s">
        <v>88</v>
      </c>
      <c r="H96" s="378"/>
      <c r="I96" s="378"/>
      <c r="J96" s="379"/>
    </row>
    <row r="97" spans="2:15" ht="15.75" thickBot="1" x14ac:dyDescent="0.3">
      <c r="B97" s="326" t="s">
        <v>31</v>
      </c>
      <c r="C97" s="327"/>
      <c r="D97" s="332" t="s">
        <v>29</v>
      </c>
      <c r="E97" s="342"/>
      <c r="F97" s="343"/>
      <c r="G97" s="380"/>
      <c r="H97" s="381"/>
      <c r="I97" s="381"/>
      <c r="J97" s="382"/>
    </row>
    <row r="98" spans="2:15" ht="15.75" thickBot="1" x14ac:dyDescent="0.3">
      <c r="B98" s="328" t="s">
        <v>74</v>
      </c>
      <c r="C98" s="329"/>
      <c r="D98" s="337" t="s">
        <v>97</v>
      </c>
      <c r="E98" s="338"/>
      <c r="F98" s="339"/>
      <c r="G98" s="64"/>
      <c r="H98" s="64"/>
      <c r="I98" s="64"/>
      <c r="J98" s="65"/>
    </row>
    <row r="99" spans="2:15" ht="30.75" thickBot="1" x14ac:dyDescent="0.3">
      <c r="B99" s="326" t="s">
        <v>0</v>
      </c>
      <c r="C99" s="327"/>
      <c r="D99" s="43" t="s">
        <v>72</v>
      </c>
      <c r="E99" s="44" t="s">
        <v>73</v>
      </c>
      <c r="F99" s="61" t="s">
        <v>64</v>
      </c>
      <c r="G99" s="44" t="s">
        <v>100</v>
      </c>
      <c r="H99" s="272" t="s">
        <v>69</v>
      </c>
      <c r="I99" s="44" t="s">
        <v>1</v>
      </c>
      <c r="J99" s="45" t="s">
        <v>2</v>
      </c>
    </row>
    <row r="100" spans="2:15" x14ac:dyDescent="0.25">
      <c r="B100" s="38">
        <v>44652</v>
      </c>
      <c r="C100" s="51">
        <v>44676</v>
      </c>
      <c r="D100" s="195">
        <f>D121</f>
        <v>1872687.0967741935</v>
      </c>
      <c r="E100" s="197">
        <f>E121</f>
        <v>6889.5161290322576</v>
      </c>
      <c r="F100" s="190">
        <f>D100-E100</f>
        <v>1865797.5806451612</v>
      </c>
      <c r="G100" s="22">
        <v>2313589</v>
      </c>
      <c r="H100" s="22">
        <f>(MIN(F100,G100))/1000</f>
        <v>1865.7975806451611</v>
      </c>
      <c r="I100" s="35">
        <v>0.93679999999999997</v>
      </c>
      <c r="J100" s="36">
        <f>H100*I100</f>
        <v>1747.8791735483869</v>
      </c>
      <c r="K100" s="7"/>
    </row>
    <row r="101" spans="2:15" x14ac:dyDescent="0.25">
      <c r="B101" s="39">
        <v>44676</v>
      </c>
      <c r="C101" s="52">
        <v>44706</v>
      </c>
      <c r="D101" s="46">
        <v>2203527</v>
      </c>
      <c r="E101" s="30">
        <v>8916</v>
      </c>
      <c r="F101" s="15">
        <f t="shared" ref="F101:F108" si="21">D101-E101</f>
        <v>2194611</v>
      </c>
      <c r="G101" s="21">
        <v>2194611</v>
      </c>
      <c r="H101" s="22">
        <f t="shared" ref="H101:H108" si="22">(MIN(F101,G101))/1000</f>
        <v>2194.6109999999999</v>
      </c>
      <c r="I101" s="34">
        <v>0.93679999999999997</v>
      </c>
      <c r="J101" s="32">
        <f t="shared" ref="J101:J108" si="23">H101*I101</f>
        <v>2055.9115847999997</v>
      </c>
      <c r="K101" s="7"/>
    </row>
    <row r="102" spans="2:15" x14ac:dyDescent="0.25">
      <c r="B102" s="38">
        <v>44706</v>
      </c>
      <c r="C102" s="51">
        <v>44737</v>
      </c>
      <c r="D102" s="46">
        <v>2140303</v>
      </c>
      <c r="E102" s="30">
        <v>8596</v>
      </c>
      <c r="F102" s="15">
        <f t="shared" si="21"/>
        <v>2131707</v>
      </c>
      <c r="G102" s="21">
        <v>2303354</v>
      </c>
      <c r="H102" s="22">
        <f t="shared" si="22"/>
        <v>2131.7069999999999</v>
      </c>
      <c r="I102" s="31">
        <v>0.93679999999999997</v>
      </c>
      <c r="J102" s="32">
        <f t="shared" si="23"/>
        <v>1996.9831175999998</v>
      </c>
      <c r="K102" s="7"/>
    </row>
    <row r="103" spans="2:15" ht="30" x14ac:dyDescent="0.25">
      <c r="B103" s="39">
        <v>44737</v>
      </c>
      <c r="C103" s="52">
        <v>44767</v>
      </c>
      <c r="D103" s="46">
        <v>1428772</v>
      </c>
      <c r="E103" s="30">
        <v>8092</v>
      </c>
      <c r="F103" s="15">
        <f t="shared" si="21"/>
        <v>1420680</v>
      </c>
      <c r="G103" s="21">
        <v>1420680</v>
      </c>
      <c r="H103" s="22">
        <f t="shared" si="22"/>
        <v>1420.68</v>
      </c>
      <c r="I103" s="31">
        <v>0.93679999999999997</v>
      </c>
      <c r="J103" s="32">
        <f t="shared" si="23"/>
        <v>1330.893024</v>
      </c>
      <c r="K103" s="7"/>
      <c r="L103" s="3"/>
      <c r="M103" s="3"/>
      <c r="N103" s="253" t="s">
        <v>131</v>
      </c>
      <c r="O103" s="253" t="s">
        <v>132</v>
      </c>
    </row>
    <row r="104" spans="2:15" x14ac:dyDescent="0.25">
      <c r="B104" s="38">
        <v>44767</v>
      </c>
      <c r="C104" s="51">
        <v>44798</v>
      </c>
      <c r="D104" s="46">
        <v>1991865</v>
      </c>
      <c r="E104" s="30">
        <v>9329</v>
      </c>
      <c r="F104" s="15">
        <f t="shared" si="21"/>
        <v>1982536</v>
      </c>
      <c r="G104" s="21">
        <v>1981991</v>
      </c>
      <c r="H104" s="22">
        <f t="shared" si="22"/>
        <v>1981.991</v>
      </c>
      <c r="I104" s="34">
        <v>0.93679999999999997</v>
      </c>
      <c r="J104" s="32">
        <f t="shared" si="23"/>
        <v>1856.7291688</v>
      </c>
      <c r="K104" s="7"/>
      <c r="L104" s="3" t="s">
        <v>127</v>
      </c>
      <c r="M104" s="30">
        <v>2322132</v>
      </c>
      <c r="N104" s="3">
        <f>M104/M106</f>
        <v>74907.483870967742</v>
      </c>
      <c r="O104" s="3">
        <f>N104*M107</f>
        <v>1872687.0967741935</v>
      </c>
    </row>
    <row r="105" spans="2:15" x14ac:dyDescent="0.25">
      <c r="B105" s="39">
        <v>44798</v>
      </c>
      <c r="C105" s="52">
        <v>44829</v>
      </c>
      <c r="D105" s="46">
        <v>2016432</v>
      </c>
      <c r="E105" s="14">
        <v>9309</v>
      </c>
      <c r="F105" s="15">
        <f t="shared" si="21"/>
        <v>2007123</v>
      </c>
      <c r="G105" s="21">
        <v>2006657</v>
      </c>
      <c r="H105" s="22">
        <f t="shared" si="22"/>
        <v>2006.6569999999999</v>
      </c>
      <c r="I105" s="31">
        <v>0.93679999999999997</v>
      </c>
      <c r="J105" s="32">
        <f t="shared" si="23"/>
        <v>1879.8362775999999</v>
      </c>
      <c r="K105" s="7"/>
      <c r="L105" s="3" t="s">
        <v>128</v>
      </c>
      <c r="M105" s="30">
        <v>8543</v>
      </c>
      <c r="N105" s="3">
        <f>M105/M106</f>
        <v>275.58064516129031</v>
      </c>
      <c r="O105" s="96">
        <f>N105*M107</f>
        <v>6889.5161290322576</v>
      </c>
    </row>
    <row r="106" spans="2:15" x14ac:dyDescent="0.25">
      <c r="B106" s="38">
        <v>44829</v>
      </c>
      <c r="C106" s="51">
        <v>44859</v>
      </c>
      <c r="D106" s="46">
        <v>1859833</v>
      </c>
      <c r="E106" s="30">
        <v>9254</v>
      </c>
      <c r="F106" s="15">
        <f t="shared" si="21"/>
        <v>1850579</v>
      </c>
      <c r="G106" s="21">
        <v>1850065</v>
      </c>
      <c r="H106" s="22">
        <f t="shared" si="22"/>
        <v>1850.0650000000001</v>
      </c>
      <c r="I106" s="31">
        <v>0.93679999999999997</v>
      </c>
      <c r="J106" s="32">
        <f t="shared" si="23"/>
        <v>1733.1408919999999</v>
      </c>
      <c r="K106" s="7"/>
      <c r="L106" s="3" t="s">
        <v>129</v>
      </c>
      <c r="M106" s="3">
        <f>C120-B120</f>
        <v>31</v>
      </c>
      <c r="N106" s="3"/>
      <c r="O106" s="3"/>
    </row>
    <row r="107" spans="2:15" x14ac:dyDescent="0.25">
      <c r="B107" s="39">
        <v>44859</v>
      </c>
      <c r="C107" s="52">
        <v>44890</v>
      </c>
      <c r="D107" s="46">
        <v>1990502</v>
      </c>
      <c r="E107" s="30">
        <v>10397</v>
      </c>
      <c r="F107" s="15">
        <f t="shared" si="21"/>
        <v>1980105</v>
      </c>
      <c r="G107" s="21">
        <v>1979494</v>
      </c>
      <c r="H107" s="22">
        <f t="shared" si="22"/>
        <v>1979.4939999999999</v>
      </c>
      <c r="I107" s="34">
        <v>0.93679999999999997</v>
      </c>
      <c r="J107" s="32">
        <f t="shared" si="23"/>
        <v>1854.3899791999997</v>
      </c>
      <c r="K107" s="7"/>
      <c r="L107" s="3" t="s">
        <v>130</v>
      </c>
      <c r="M107" s="3">
        <f>C121-B121+1</f>
        <v>25</v>
      </c>
      <c r="N107" s="3"/>
      <c r="O107" s="3"/>
    </row>
    <row r="108" spans="2:15" ht="15.75" thickBot="1" x14ac:dyDescent="0.3">
      <c r="B108" s="38">
        <v>44890</v>
      </c>
      <c r="C108" s="51">
        <v>44920</v>
      </c>
      <c r="D108" s="47">
        <v>1747342</v>
      </c>
      <c r="E108" s="30">
        <v>9579</v>
      </c>
      <c r="F108" s="15">
        <f t="shared" si="21"/>
        <v>1737763</v>
      </c>
      <c r="G108" s="33">
        <v>1737320</v>
      </c>
      <c r="H108" s="22">
        <f t="shared" si="22"/>
        <v>1737.32</v>
      </c>
      <c r="I108" s="41">
        <v>0.93679999999999997</v>
      </c>
      <c r="J108" s="42">
        <f t="shared" si="23"/>
        <v>1627.5213759999999</v>
      </c>
      <c r="K108" s="7"/>
      <c r="L108" s="3"/>
      <c r="M108" s="3"/>
      <c r="N108" s="3"/>
      <c r="O108" s="3"/>
    </row>
    <row r="109" spans="2:15" ht="15.75" thickBot="1" x14ac:dyDescent="0.3">
      <c r="B109" s="330" t="s">
        <v>70</v>
      </c>
      <c r="C109" s="331"/>
      <c r="D109" s="48">
        <f>SUM(D100:D108)</f>
        <v>17251263.096774194</v>
      </c>
      <c r="E109" s="49">
        <f t="shared" ref="E109:G109" si="24">SUM(E100:E108)</f>
        <v>80361.516129032258</v>
      </c>
      <c r="F109" s="50">
        <f t="shared" si="24"/>
        <v>17170901.580645159</v>
      </c>
      <c r="G109" s="49">
        <f t="shared" si="24"/>
        <v>17787761</v>
      </c>
      <c r="H109" s="62">
        <f>SUM(H100:H108)</f>
        <v>17168.322580645163</v>
      </c>
      <c r="I109" s="54">
        <v>0.93679999999999997</v>
      </c>
      <c r="J109" s="55">
        <f>ROUNDDOWN(H109*I109,0)</f>
        <v>16083</v>
      </c>
    </row>
    <row r="110" spans="2:15" x14ac:dyDescent="0.25">
      <c r="B110" s="38">
        <v>44920</v>
      </c>
      <c r="C110" s="51">
        <v>44951</v>
      </c>
      <c r="D110" s="37">
        <v>2126615</v>
      </c>
      <c r="E110" s="14">
        <v>10086</v>
      </c>
      <c r="F110" s="15">
        <f>D110-E110</f>
        <v>2116529</v>
      </c>
      <c r="G110" s="22">
        <v>2115978</v>
      </c>
      <c r="H110" s="22">
        <f>(MIN(F110,G110))/1000</f>
        <v>2115.9780000000001</v>
      </c>
      <c r="I110" s="35">
        <v>0.93679999999999997</v>
      </c>
      <c r="J110" s="36">
        <f>H110*I110</f>
        <v>1982.2481903999999</v>
      </c>
      <c r="K110" s="7"/>
    </row>
    <row r="111" spans="2:15" x14ac:dyDescent="0.25">
      <c r="B111" s="39">
        <v>44951</v>
      </c>
      <c r="C111" s="52">
        <v>44982</v>
      </c>
      <c r="D111" s="46">
        <v>2489386</v>
      </c>
      <c r="E111" s="30">
        <v>9174</v>
      </c>
      <c r="F111" s="15">
        <f t="shared" ref="F111:F116" si="25">D111-E111</f>
        <v>2480212</v>
      </c>
      <c r="G111" s="21">
        <v>2479637</v>
      </c>
      <c r="H111" s="22">
        <f t="shared" ref="H111:H116" si="26">(MIN(F111,G111))/1000</f>
        <v>2479.6370000000002</v>
      </c>
      <c r="I111" s="31">
        <v>0.93679999999999997</v>
      </c>
      <c r="J111" s="32">
        <f t="shared" ref="J111:J116" si="27">H111*I111</f>
        <v>2322.9239416</v>
      </c>
      <c r="K111" s="7"/>
      <c r="L111" s="7"/>
    </row>
    <row r="112" spans="2:15" x14ac:dyDescent="0.25">
      <c r="B112" s="38">
        <v>44982</v>
      </c>
      <c r="C112" s="51">
        <v>45010</v>
      </c>
      <c r="D112" s="46">
        <v>2098385</v>
      </c>
      <c r="E112" s="30">
        <v>8166</v>
      </c>
      <c r="F112" s="15">
        <f t="shared" si="25"/>
        <v>2090219</v>
      </c>
      <c r="G112" s="21">
        <v>2083682</v>
      </c>
      <c r="H112" s="22">
        <f t="shared" si="26"/>
        <v>2083.6819999999998</v>
      </c>
      <c r="I112" s="31">
        <v>0.93679999999999997</v>
      </c>
      <c r="J112" s="32">
        <f t="shared" si="27"/>
        <v>1951.9932975999998</v>
      </c>
      <c r="K112" s="7"/>
    </row>
    <row r="113" spans="2:16" x14ac:dyDescent="0.25">
      <c r="B113" s="38">
        <v>45010</v>
      </c>
      <c r="C113" s="51">
        <v>45016</v>
      </c>
      <c r="D113" s="46">
        <v>499352</v>
      </c>
      <c r="E113" s="30">
        <v>1695</v>
      </c>
      <c r="F113" s="15">
        <f t="shared" si="25"/>
        <v>497657</v>
      </c>
      <c r="G113" s="225">
        <v>497557</v>
      </c>
      <c r="H113" s="22">
        <f t="shared" si="26"/>
        <v>497.55700000000002</v>
      </c>
      <c r="I113" s="31">
        <v>0.93679999999999997</v>
      </c>
      <c r="J113" s="32">
        <f t="shared" si="27"/>
        <v>466.11139759999998</v>
      </c>
      <c r="K113" s="7"/>
    </row>
    <row r="114" spans="2:16" x14ac:dyDescent="0.25">
      <c r="B114" s="39">
        <v>45017</v>
      </c>
      <c r="C114" s="52">
        <v>45048</v>
      </c>
      <c r="D114" s="46">
        <v>2417747</v>
      </c>
      <c r="E114" s="30">
        <v>13227</v>
      </c>
      <c r="F114" s="15">
        <f t="shared" si="25"/>
        <v>2404520</v>
      </c>
      <c r="G114" s="21">
        <v>2401802</v>
      </c>
      <c r="H114" s="22">
        <f t="shared" si="26"/>
        <v>2401.8020000000001</v>
      </c>
      <c r="I114" s="31">
        <v>0.93679999999999997</v>
      </c>
      <c r="J114" s="32">
        <f t="shared" si="27"/>
        <v>2250.0081135999999</v>
      </c>
      <c r="K114" s="7"/>
    </row>
    <row r="115" spans="2:16" x14ac:dyDescent="0.25">
      <c r="B115" s="38">
        <v>45048</v>
      </c>
      <c r="C115" s="51">
        <v>45078</v>
      </c>
      <c r="D115" s="46">
        <v>2374214</v>
      </c>
      <c r="E115" s="30">
        <v>7853</v>
      </c>
      <c r="F115" s="15">
        <f t="shared" si="25"/>
        <v>2366361</v>
      </c>
      <c r="G115" s="21">
        <v>2365941</v>
      </c>
      <c r="H115" s="22">
        <f t="shared" si="26"/>
        <v>2365.9409999999998</v>
      </c>
      <c r="I115" s="31">
        <v>0.93679999999999997</v>
      </c>
      <c r="J115" s="32">
        <f t="shared" si="27"/>
        <v>2216.4135287999998</v>
      </c>
      <c r="K115" s="7"/>
    </row>
    <row r="116" spans="2:16" ht="15.75" thickBot="1" x14ac:dyDescent="0.3">
      <c r="B116" s="39">
        <v>45078</v>
      </c>
      <c r="C116" s="52">
        <v>45107</v>
      </c>
      <c r="D116" s="254">
        <f>D124</f>
        <v>2186284.8666666667</v>
      </c>
      <c r="E116" s="197">
        <f>E124</f>
        <v>7202.6333333333332</v>
      </c>
      <c r="F116" s="200">
        <f t="shared" si="25"/>
        <v>2179082.2333333334</v>
      </c>
      <c r="G116" s="33">
        <v>2253720</v>
      </c>
      <c r="H116" s="22">
        <f t="shared" si="26"/>
        <v>2179.0822333333335</v>
      </c>
      <c r="I116" s="41">
        <v>0.93679999999999997</v>
      </c>
      <c r="J116" s="42">
        <f t="shared" si="27"/>
        <v>2041.3642361866669</v>
      </c>
      <c r="K116" s="7"/>
    </row>
    <row r="117" spans="2:16" ht="15.75" thickBot="1" x14ac:dyDescent="0.3">
      <c r="B117" s="330" t="s">
        <v>71</v>
      </c>
      <c r="C117" s="331"/>
      <c r="D117" s="48">
        <f>SUM(D110:D116)</f>
        <v>14191983.866666667</v>
      </c>
      <c r="E117" s="49">
        <f>SUM(E110:E116)</f>
        <v>57403.633333333331</v>
      </c>
      <c r="F117" s="50">
        <f>SUM(F110:F116)</f>
        <v>14134580.233333334</v>
      </c>
      <c r="G117" s="62">
        <f>SUM(G110:G116)</f>
        <v>14198317</v>
      </c>
      <c r="H117" s="62">
        <f>SUM(H110:H116)</f>
        <v>14123.679233333332</v>
      </c>
      <c r="I117" s="54">
        <v>0.93679999999999997</v>
      </c>
      <c r="J117" s="55">
        <f>ROUNDDOWN(H117*I117,0)</f>
        <v>13231</v>
      </c>
    </row>
    <row r="118" spans="2:16" ht="15.75" thickBot="1" x14ac:dyDescent="0.3">
      <c r="B118" s="345" t="s">
        <v>3</v>
      </c>
      <c r="C118" s="346"/>
      <c r="D118" s="76">
        <f>D117+D109</f>
        <v>31443246.963440862</v>
      </c>
      <c r="E118" s="77">
        <f>E109+E117</f>
        <v>137765.1494623656</v>
      </c>
      <c r="F118" s="78">
        <f>F117+F109</f>
        <v>31305481.813978493</v>
      </c>
      <c r="G118" s="58">
        <f>G117+G109</f>
        <v>31986078</v>
      </c>
      <c r="H118" s="58">
        <f>SUM(H109+H117)</f>
        <v>31292.001813978495</v>
      </c>
      <c r="I118" s="59">
        <v>0.93679999999999997</v>
      </c>
      <c r="J118" s="60">
        <f>ROUNDDOWN(SUM(J109+J117),0)</f>
        <v>29314</v>
      </c>
      <c r="L118" s="306">
        <v>45078</v>
      </c>
      <c r="M118" s="307"/>
      <c r="N118" s="307"/>
      <c r="O118" s="307"/>
      <c r="P118" s="308"/>
    </row>
    <row r="119" spans="2:16" x14ac:dyDescent="0.25">
      <c r="L119" s="5"/>
      <c r="M119" s="3"/>
      <c r="N119" s="3"/>
      <c r="O119" s="3" t="s">
        <v>131</v>
      </c>
      <c r="P119" s="3" t="s">
        <v>139</v>
      </c>
    </row>
    <row r="120" spans="2:16" x14ac:dyDescent="0.25">
      <c r="B120" s="201">
        <v>44645</v>
      </c>
      <c r="C120" s="201">
        <v>44676</v>
      </c>
      <c r="D120" s="211">
        <v>2322132</v>
      </c>
      <c r="E120" s="211">
        <v>8543</v>
      </c>
      <c r="L120" s="5"/>
      <c r="M120" s="3" t="s">
        <v>127</v>
      </c>
      <c r="N120" s="30">
        <v>2261674</v>
      </c>
      <c r="O120" s="96">
        <f>N120/N122</f>
        <v>75389.133333333331</v>
      </c>
      <c r="P120" s="96">
        <f>O120*N123</f>
        <v>2186284.8666666667</v>
      </c>
    </row>
    <row r="121" spans="2:16" x14ac:dyDescent="0.25">
      <c r="B121" s="201">
        <v>44652</v>
      </c>
      <c r="C121" s="201">
        <v>44676</v>
      </c>
      <c r="D121" s="202">
        <f>O104</f>
        <v>1872687.0967741935</v>
      </c>
      <c r="E121" s="202">
        <f>O105</f>
        <v>6889.5161290322576</v>
      </c>
      <c r="L121" s="5"/>
      <c r="M121" s="3" t="s">
        <v>128</v>
      </c>
      <c r="N121" s="30">
        <v>7451</v>
      </c>
      <c r="O121" s="96">
        <f>N121/N122</f>
        <v>248.36666666666667</v>
      </c>
      <c r="P121" s="96">
        <f>O121*N123</f>
        <v>7202.6333333333332</v>
      </c>
    </row>
    <row r="122" spans="2:16" x14ac:dyDescent="0.25">
      <c r="L122" s="5"/>
      <c r="M122" s="3" t="s">
        <v>129</v>
      </c>
      <c r="N122" s="3">
        <f>C123-B123</f>
        <v>30</v>
      </c>
      <c r="O122" s="3"/>
      <c r="P122" s="3"/>
    </row>
    <row r="123" spans="2:16" ht="14.25" customHeight="1" x14ac:dyDescent="0.25">
      <c r="B123" s="201">
        <v>45078</v>
      </c>
      <c r="C123" s="201">
        <v>45108</v>
      </c>
      <c r="D123" s="188">
        <v>2261674</v>
      </c>
      <c r="E123" s="189">
        <v>7451</v>
      </c>
      <c r="L123" s="5"/>
      <c r="M123" s="3" t="s">
        <v>130</v>
      </c>
      <c r="N123" s="3">
        <f>C124-B124</f>
        <v>29</v>
      </c>
      <c r="O123" s="3"/>
      <c r="P123" s="3"/>
    </row>
    <row r="124" spans="2:16" x14ac:dyDescent="0.25">
      <c r="B124" s="201">
        <v>45078</v>
      </c>
      <c r="C124" s="201">
        <v>45107</v>
      </c>
      <c r="D124" s="195">
        <f>P120</f>
        <v>2186284.8666666667</v>
      </c>
      <c r="E124" s="197">
        <f>P121</f>
        <v>7202.6333333333332</v>
      </c>
    </row>
    <row r="125" spans="2:16" ht="15.75" thickBot="1" x14ac:dyDescent="0.3"/>
    <row r="126" spans="2:16" ht="15.75" thickBot="1" x14ac:dyDescent="0.3">
      <c r="B126" s="324" t="s">
        <v>67</v>
      </c>
      <c r="C126" s="325"/>
      <c r="D126" s="324" t="s">
        <v>43</v>
      </c>
      <c r="E126" s="335"/>
      <c r="F126" s="336"/>
      <c r="G126" s="377" t="s">
        <v>88</v>
      </c>
      <c r="H126" s="378"/>
      <c r="I126" s="378"/>
      <c r="J126" s="379"/>
      <c r="L126" s="3"/>
      <c r="M126" s="3"/>
      <c r="N126" s="3"/>
      <c r="O126" s="3"/>
      <c r="P126" s="3"/>
    </row>
    <row r="127" spans="2:16" ht="15.75" thickBot="1" x14ac:dyDescent="0.3">
      <c r="B127" s="326" t="s">
        <v>31</v>
      </c>
      <c r="C127" s="327"/>
      <c r="D127" s="332" t="s">
        <v>29</v>
      </c>
      <c r="E127" s="342"/>
      <c r="F127" s="343"/>
      <c r="G127" s="380"/>
      <c r="H127" s="381"/>
      <c r="I127" s="381"/>
      <c r="J127" s="382"/>
      <c r="L127" s="3"/>
      <c r="M127" s="3"/>
      <c r="N127" s="3" t="s">
        <v>131</v>
      </c>
      <c r="O127" s="3" t="s">
        <v>132</v>
      </c>
      <c r="P127" s="3"/>
    </row>
    <row r="128" spans="2:16" ht="15.75" thickBot="1" x14ac:dyDescent="0.3">
      <c r="B128" s="328" t="s">
        <v>74</v>
      </c>
      <c r="C128" s="329"/>
      <c r="D128" s="337" t="s">
        <v>98</v>
      </c>
      <c r="E128" s="338"/>
      <c r="F128" s="339"/>
      <c r="G128" s="64"/>
      <c r="H128" s="64"/>
      <c r="I128" s="64"/>
      <c r="J128" s="65"/>
      <c r="L128" s="3" t="s">
        <v>127</v>
      </c>
      <c r="M128" s="30">
        <v>2425620</v>
      </c>
      <c r="N128" s="3">
        <f>M128/M130</f>
        <v>78245.806451612909</v>
      </c>
      <c r="O128" s="3">
        <f>N128*M131</f>
        <v>1956145.1612903227</v>
      </c>
      <c r="P128" s="3"/>
    </row>
    <row r="129" spans="2:16" ht="30.75" thickBot="1" x14ac:dyDescent="0.3">
      <c r="B129" s="326" t="s">
        <v>0</v>
      </c>
      <c r="C129" s="327"/>
      <c r="D129" s="43" t="s">
        <v>72</v>
      </c>
      <c r="E129" s="44" t="s">
        <v>73</v>
      </c>
      <c r="F129" s="61" t="s">
        <v>64</v>
      </c>
      <c r="G129" s="272" t="s">
        <v>100</v>
      </c>
      <c r="H129" s="44" t="s">
        <v>69</v>
      </c>
      <c r="I129" s="44" t="s">
        <v>1</v>
      </c>
      <c r="J129" s="45" t="s">
        <v>2</v>
      </c>
      <c r="L129" s="3" t="s">
        <v>128</v>
      </c>
      <c r="M129" s="30">
        <v>10740</v>
      </c>
      <c r="N129" s="3">
        <f>M129/M130</f>
        <v>346.45161290322579</v>
      </c>
      <c r="O129" s="96">
        <f>N129*M131</f>
        <v>8661.290322580644</v>
      </c>
      <c r="P129" s="3"/>
    </row>
    <row r="130" spans="2:16" x14ac:dyDescent="0.25">
      <c r="B130" s="38">
        <v>44652</v>
      </c>
      <c r="C130" s="51">
        <v>44676</v>
      </c>
      <c r="D130" s="195">
        <f>D150</f>
        <v>1956145.1612903227</v>
      </c>
      <c r="E130" s="197">
        <f>E150</f>
        <v>8661.290322580644</v>
      </c>
      <c r="F130" s="200">
        <f>D130-E130</f>
        <v>1947483.8709677421</v>
      </c>
      <c r="G130" s="22">
        <v>2414880</v>
      </c>
      <c r="H130" s="22">
        <f>(MIN(F130,G130))/1000</f>
        <v>1947.483870967742</v>
      </c>
      <c r="I130" s="35">
        <v>0.93679999999999997</v>
      </c>
      <c r="J130" s="36">
        <f>H130*I130</f>
        <v>1824.4028903225806</v>
      </c>
      <c r="K130" s="7"/>
      <c r="L130" s="3" t="s">
        <v>129</v>
      </c>
      <c r="M130" s="3">
        <f>C149-B149</f>
        <v>31</v>
      </c>
      <c r="N130" s="3"/>
      <c r="O130" s="3"/>
      <c r="P130" s="3"/>
    </row>
    <row r="131" spans="2:16" x14ac:dyDescent="0.25">
      <c r="B131" s="39">
        <v>44676</v>
      </c>
      <c r="C131" s="52">
        <v>44706</v>
      </c>
      <c r="D131" s="46">
        <v>2259020</v>
      </c>
      <c r="E131" s="30">
        <v>10110</v>
      </c>
      <c r="F131" s="15">
        <f t="shared" ref="F131:F138" si="28">D131-E131</f>
        <v>2248910</v>
      </c>
      <c r="G131" s="21">
        <v>2248910</v>
      </c>
      <c r="H131" s="22">
        <f t="shared" ref="H131:H138" si="29">(MIN(F131,G131))/1000</f>
        <v>2248.91</v>
      </c>
      <c r="I131" s="34">
        <v>0.93679999999999997</v>
      </c>
      <c r="J131" s="32">
        <f t="shared" ref="J131:J138" si="30">H131*I131</f>
        <v>2106.7788879999998</v>
      </c>
      <c r="K131" s="7"/>
      <c r="L131" s="3" t="s">
        <v>130</v>
      </c>
      <c r="M131" s="3">
        <f>C150-B150+1</f>
        <v>25</v>
      </c>
      <c r="N131" s="3"/>
      <c r="O131" s="3"/>
      <c r="P131" s="3"/>
    </row>
    <row r="132" spans="2:16" x14ac:dyDescent="0.25">
      <c r="B132" s="38">
        <v>44706</v>
      </c>
      <c r="C132" s="51">
        <v>44737</v>
      </c>
      <c r="D132" s="46">
        <v>2406450</v>
      </c>
      <c r="E132" s="30">
        <v>10690</v>
      </c>
      <c r="F132" s="15">
        <f t="shared" si="28"/>
        <v>2395760</v>
      </c>
      <c r="G132" s="21">
        <v>2395760</v>
      </c>
      <c r="H132" s="22">
        <f t="shared" si="29"/>
        <v>2395.7600000000002</v>
      </c>
      <c r="I132" s="31">
        <v>0.93679999999999997</v>
      </c>
      <c r="J132" s="32">
        <f t="shared" si="30"/>
        <v>2244.347968</v>
      </c>
      <c r="K132" s="7"/>
      <c r="L132" s="3"/>
      <c r="M132" s="3"/>
      <c r="N132" s="3"/>
      <c r="O132" s="3"/>
      <c r="P132" s="3"/>
    </row>
    <row r="133" spans="2:16" x14ac:dyDescent="0.25">
      <c r="B133" s="39">
        <v>44737</v>
      </c>
      <c r="C133" s="52">
        <v>44767</v>
      </c>
      <c r="D133" s="46">
        <v>1498940</v>
      </c>
      <c r="E133" s="30">
        <v>10120</v>
      </c>
      <c r="F133" s="15">
        <f t="shared" si="28"/>
        <v>1488820</v>
      </c>
      <c r="G133" s="21">
        <v>1488820</v>
      </c>
      <c r="H133" s="22">
        <f t="shared" si="29"/>
        <v>1488.82</v>
      </c>
      <c r="I133" s="31">
        <v>0.93679999999999997</v>
      </c>
      <c r="J133" s="32">
        <f t="shared" si="30"/>
        <v>1394.7265759999998</v>
      </c>
      <c r="K133" s="7"/>
    </row>
    <row r="134" spans="2:16" x14ac:dyDescent="0.25">
      <c r="B134" s="38">
        <v>44767</v>
      </c>
      <c r="C134" s="51">
        <v>44798</v>
      </c>
      <c r="D134" s="46">
        <v>1929740</v>
      </c>
      <c r="E134" s="30">
        <v>10490</v>
      </c>
      <c r="F134" s="15">
        <f t="shared" si="28"/>
        <v>1919250</v>
      </c>
      <c r="G134" s="21">
        <v>1919250</v>
      </c>
      <c r="H134" s="22">
        <f t="shared" si="29"/>
        <v>1919.25</v>
      </c>
      <c r="I134" s="34">
        <v>0.93679999999999997</v>
      </c>
      <c r="J134" s="32">
        <f t="shared" si="30"/>
        <v>1797.9533999999999</v>
      </c>
      <c r="K134" s="7"/>
    </row>
    <row r="135" spans="2:16" x14ac:dyDescent="0.25">
      <c r="B135" s="39">
        <v>44798</v>
      </c>
      <c r="C135" s="52">
        <v>44829</v>
      </c>
      <c r="D135" s="46">
        <v>1965040</v>
      </c>
      <c r="E135" s="14">
        <v>11540</v>
      </c>
      <c r="F135" s="15">
        <f t="shared" si="28"/>
        <v>1953500</v>
      </c>
      <c r="G135" s="21">
        <v>1953880</v>
      </c>
      <c r="H135" s="22">
        <f t="shared" si="29"/>
        <v>1953.5</v>
      </c>
      <c r="I135" s="31">
        <v>0.93679999999999997</v>
      </c>
      <c r="J135" s="32">
        <f t="shared" si="30"/>
        <v>1830.0388</v>
      </c>
      <c r="K135" s="7"/>
    </row>
    <row r="136" spans="2:16" x14ac:dyDescent="0.25">
      <c r="B136" s="38">
        <v>44829</v>
      </c>
      <c r="C136" s="51">
        <v>44859</v>
      </c>
      <c r="D136" s="46">
        <v>1536870</v>
      </c>
      <c r="E136" s="30">
        <v>11140</v>
      </c>
      <c r="F136" s="15">
        <f t="shared" si="28"/>
        <v>1525730</v>
      </c>
      <c r="G136" s="21">
        <v>1526070</v>
      </c>
      <c r="H136" s="22">
        <f t="shared" si="29"/>
        <v>1525.73</v>
      </c>
      <c r="I136" s="31">
        <v>0.93679999999999997</v>
      </c>
      <c r="J136" s="32">
        <f t="shared" si="30"/>
        <v>1429.303864</v>
      </c>
      <c r="K136" s="7"/>
    </row>
    <row r="137" spans="2:16" x14ac:dyDescent="0.25">
      <c r="B137" s="39">
        <v>44859</v>
      </c>
      <c r="C137" s="52">
        <v>44890</v>
      </c>
      <c r="D137" s="46">
        <v>1881360</v>
      </c>
      <c r="E137" s="30">
        <v>11560</v>
      </c>
      <c r="F137" s="15">
        <f t="shared" si="28"/>
        <v>1869800</v>
      </c>
      <c r="G137" s="21">
        <v>1870200</v>
      </c>
      <c r="H137" s="22">
        <f t="shared" si="29"/>
        <v>1869.8</v>
      </c>
      <c r="I137" s="34">
        <v>0.93679999999999997</v>
      </c>
      <c r="J137" s="32">
        <f t="shared" si="30"/>
        <v>1751.6286399999999</v>
      </c>
      <c r="K137" s="7"/>
    </row>
    <row r="138" spans="2:16" ht="15.75" thickBot="1" x14ac:dyDescent="0.3">
      <c r="B138" s="38">
        <v>44890</v>
      </c>
      <c r="C138" s="51">
        <v>44920</v>
      </c>
      <c r="D138" s="47">
        <v>1681390</v>
      </c>
      <c r="E138" s="30">
        <v>11420</v>
      </c>
      <c r="F138" s="15">
        <f t="shared" si="28"/>
        <v>1669970</v>
      </c>
      <c r="G138" s="33">
        <v>1670590</v>
      </c>
      <c r="H138" s="22">
        <f t="shared" si="29"/>
        <v>1669.97</v>
      </c>
      <c r="I138" s="41">
        <v>0.93679999999999997</v>
      </c>
      <c r="J138" s="42">
        <f t="shared" si="30"/>
        <v>1564.4278959999999</v>
      </c>
      <c r="K138" s="7"/>
    </row>
    <row r="139" spans="2:16" ht="15.75" customHeight="1" thickBot="1" x14ac:dyDescent="0.3">
      <c r="B139" s="330" t="s">
        <v>70</v>
      </c>
      <c r="C139" s="331"/>
      <c r="D139" s="84">
        <f>SUM(D130:D138)</f>
        <v>17114955.161290321</v>
      </c>
      <c r="E139" s="62">
        <f t="shared" ref="E139:H139" si="31">SUM(E130:E138)</f>
        <v>95731.290322580637</v>
      </c>
      <c r="F139" s="50">
        <f t="shared" si="31"/>
        <v>17019223.870967742</v>
      </c>
      <c r="G139" s="49">
        <f t="shared" si="31"/>
        <v>17488360</v>
      </c>
      <c r="H139" s="62">
        <f t="shared" si="31"/>
        <v>17019.22387096774</v>
      </c>
      <c r="I139" s="54">
        <v>0.93679999999999997</v>
      </c>
      <c r="J139" s="55">
        <f>ROUNDDOWN(H139*I139,0)</f>
        <v>15943</v>
      </c>
    </row>
    <row r="140" spans="2:16" x14ac:dyDescent="0.25">
      <c r="B140" s="38">
        <v>44920</v>
      </c>
      <c r="C140" s="51">
        <v>44951</v>
      </c>
      <c r="D140" s="37">
        <v>2207840</v>
      </c>
      <c r="E140" s="14">
        <v>11850</v>
      </c>
      <c r="F140" s="15">
        <f>D140-E140</f>
        <v>2195990</v>
      </c>
      <c r="G140" s="22">
        <v>2196680</v>
      </c>
      <c r="H140" s="22">
        <f>(MIN(F140,G140))/1000</f>
        <v>2195.9899999999998</v>
      </c>
      <c r="I140" s="35">
        <v>0.93679999999999997</v>
      </c>
      <c r="J140" s="36">
        <f>H140*I140</f>
        <v>2057.2034319999998</v>
      </c>
      <c r="K140" s="7"/>
    </row>
    <row r="141" spans="2:16" x14ac:dyDescent="0.25">
      <c r="B141" s="39">
        <v>44951</v>
      </c>
      <c r="C141" s="52">
        <v>44982</v>
      </c>
      <c r="D141" s="46">
        <v>2596080</v>
      </c>
      <c r="E141" s="30">
        <v>10730</v>
      </c>
      <c r="F141" s="15">
        <f t="shared" ref="F141:F144" si="32">D141-E141</f>
        <v>2585350</v>
      </c>
      <c r="G141" s="21">
        <v>2585340</v>
      </c>
      <c r="H141" s="22">
        <f t="shared" ref="H141:H145" si="33">(MIN(F141,G141))/1000</f>
        <v>2585.34</v>
      </c>
      <c r="I141" s="31">
        <v>0.93679999999999997</v>
      </c>
      <c r="J141" s="32">
        <f t="shared" ref="J141:J145" si="34">H141*I141</f>
        <v>2421.946512</v>
      </c>
      <c r="K141" s="7"/>
    </row>
    <row r="142" spans="2:16" x14ac:dyDescent="0.25">
      <c r="B142" s="38">
        <v>44982</v>
      </c>
      <c r="C142" s="51">
        <v>45010</v>
      </c>
      <c r="D142" s="46">
        <v>2352740</v>
      </c>
      <c r="E142" s="30">
        <v>21380</v>
      </c>
      <c r="F142" s="15">
        <f t="shared" si="32"/>
        <v>2331360</v>
      </c>
      <c r="G142" s="21">
        <v>2332740</v>
      </c>
      <c r="H142" s="22">
        <f t="shared" si="33"/>
        <v>2331.36</v>
      </c>
      <c r="I142" s="31">
        <v>0.93679999999999997</v>
      </c>
      <c r="J142" s="32">
        <f t="shared" si="34"/>
        <v>2184.0180479999999</v>
      </c>
      <c r="K142" s="7"/>
    </row>
    <row r="143" spans="2:16" x14ac:dyDescent="0.25">
      <c r="B143" s="39">
        <v>45010</v>
      </c>
      <c r="C143" s="52">
        <v>45047</v>
      </c>
      <c r="D143" s="46">
        <v>3199980</v>
      </c>
      <c r="E143" s="30">
        <v>12340</v>
      </c>
      <c r="F143" s="15">
        <f t="shared" si="32"/>
        <v>3187640</v>
      </c>
      <c r="G143" s="21">
        <v>3187640</v>
      </c>
      <c r="H143" s="22">
        <f t="shared" si="33"/>
        <v>3187.64</v>
      </c>
      <c r="I143" s="31">
        <v>0.93679999999999997</v>
      </c>
      <c r="J143" s="32">
        <f t="shared" si="34"/>
        <v>2986.1811519999997</v>
      </c>
      <c r="K143" s="7"/>
    </row>
    <row r="144" spans="2:16" x14ac:dyDescent="0.25">
      <c r="B144" s="38">
        <v>45047</v>
      </c>
      <c r="C144" s="51">
        <v>45078</v>
      </c>
      <c r="D144" s="46">
        <v>2432880</v>
      </c>
      <c r="E144" s="30">
        <v>10360</v>
      </c>
      <c r="F144" s="15">
        <f t="shared" si="32"/>
        <v>2422520</v>
      </c>
      <c r="G144" s="21">
        <v>2422520</v>
      </c>
      <c r="H144" s="22">
        <f t="shared" si="33"/>
        <v>2422.52</v>
      </c>
      <c r="I144" s="31">
        <v>0.93679999999999997</v>
      </c>
      <c r="J144" s="32">
        <f t="shared" si="34"/>
        <v>2269.4167360000001</v>
      </c>
      <c r="K144" s="7"/>
    </row>
    <row r="145" spans="2:16" ht="15.75" thickBot="1" x14ac:dyDescent="0.3">
      <c r="B145" s="239">
        <v>45078</v>
      </c>
      <c r="C145" s="240">
        <v>45107</v>
      </c>
      <c r="D145" s="254">
        <f>D153</f>
        <v>2248176.6666666665</v>
      </c>
      <c r="E145" s="197">
        <f>E153</f>
        <v>9541</v>
      </c>
      <c r="F145" s="200">
        <f>D145-E145</f>
        <v>2238635.6666666665</v>
      </c>
      <c r="G145" s="33">
        <v>2315830</v>
      </c>
      <c r="H145" s="22">
        <f t="shared" si="33"/>
        <v>2238.6356666666666</v>
      </c>
      <c r="I145" s="41">
        <v>0.93679999999999997</v>
      </c>
      <c r="J145" s="42">
        <f t="shared" si="34"/>
        <v>2097.153892533333</v>
      </c>
      <c r="K145" s="7"/>
    </row>
    <row r="146" spans="2:16" ht="15.75" thickBot="1" x14ac:dyDescent="0.3">
      <c r="B146" s="330" t="s">
        <v>71</v>
      </c>
      <c r="C146" s="331"/>
      <c r="D146" s="84">
        <f>SUM(D140:D145)</f>
        <v>15037696.666666666</v>
      </c>
      <c r="E146" s="49">
        <f>SUM(E140:E145)</f>
        <v>76201</v>
      </c>
      <c r="F146" s="50">
        <f>SUM(F140:F145)</f>
        <v>14961495.666666666</v>
      </c>
      <c r="G146" s="62">
        <f>SUM(G140:G145)</f>
        <v>15040750</v>
      </c>
      <c r="H146" s="62">
        <f>SUM(H140:H145)</f>
        <v>14961.485666666667</v>
      </c>
      <c r="I146" s="54">
        <v>0.93679999999999997</v>
      </c>
      <c r="J146" s="55">
        <f>ROUNDDOWN(H146*I146,0)</f>
        <v>14015</v>
      </c>
    </row>
    <row r="147" spans="2:16" ht="15.75" thickBot="1" x14ac:dyDescent="0.3">
      <c r="B147" s="345" t="s">
        <v>3</v>
      </c>
      <c r="C147" s="346"/>
      <c r="D147" s="89">
        <f>D146+D139</f>
        <v>32152651.827956989</v>
      </c>
      <c r="E147" s="90">
        <f>E139+E146</f>
        <v>171932.29032258064</v>
      </c>
      <c r="F147" s="78">
        <f>F146+F139</f>
        <v>31980719.53763441</v>
      </c>
      <c r="G147" s="58">
        <f>G146+G139</f>
        <v>32529110</v>
      </c>
      <c r="H147" s="58">
        <f>SUM(H139+H146)</f>
        <v>31980.709537634408</v>
      </c>
      <c r="I147" s="59">
        <v>0.93679999999999997</v>
      </c>
      <c r="J147" s="60">
        <f>ROUNDDOWN(SUM(J139+J146),0)</f>
        <v>29958</v>
      </c>
      <c r="L147" s="306">
        <v>45078</v>
      </c>
      <c r="M147" s="307"/>
      <c r="N147" s="307"/>
      <c r="O147" s="307"/>
      <c r="P147" s="308"/>
    </row>
    <row r="148" spans="2:16" x14ac:dyDescent="0.25">
      <c r="L148" s="5"/>
      <c r="M148" s="3"/>
      <c r="N148" s="3"/>
      <c r="O148" s="3" t="s">
        <v>131</v>
      </c>
      <c r="P148" s="3" t="s">
        <v>139</v>
      </c>
    </row>
    <row r="149" spans="2:16" x14ac:dyDescent="0.25">
      <c r="B149" s="201">
        <v>44645</v>
      </c>
      <c r="C149" s="201">
        <v>44676</v>
      </c>
      <c r="D149" s="188">
        <v>2425620</v>
      </c>
      <c r="E149" s="189">
        <v>10740</v>
      </c>
      <c r="L149" s="5"/>
      <c r="M149" s="3" t="s">
        <v>127</v>
      </c>
      <c r="N149" s="30">
        <v>2325700</v>
      </c>
      <c r="O149" s="96">
        <f>N149/N151</f>
        <v>77523.333333333328</v>
      </c>
      <c r="P149" s="96">
        <f>O149*N152</f>
        <v>2248176.6666666665</v>
      </c>
    </row>
    <row r="150" spans="2:16" x14ac:dyDescent="0.25">
      <c r="B150" s="201">
        <v>44652</v>
      </c>
      <c r="C150" s="201">
        <v>44676</v>
      </c>
      <c r="D150" s="202">
        <f>O128</f>
        <v>1956145.1612903227</v>
      </c>
      <c r="E150" s="202">
        <f>O129</f>
        <v>8661.290322580644</v>
      </c>
      <c r="L150" s="5"/>
      <c r="M150" s="3" t="s">
        <v>128</v>
      </c>
      <c r="N150" s="30">
        <v>9870</v>
      </c>
      <c r="O150" s="96">
        <f>N150/N151</f>
        <v>329</v>
      </c>
      <c r="P150" s="96">
        <f>O150*N152</f>
        <v>9541</v>
      </c>
    </row>
    <row r="151" spans="2:16" x14ac:dyDescent="0.25">
      <c r="L151" s="5"/>
      <c r="M151" s="3" t="s">
        <v>129</v>
      </c>
      <c r="N151" s="3">
        <f>C152-B152</f>
        <v>30</v>
      </c>
      <c r="O151" s="3"/>
      <c r="P151" s="3"/>
    </row>
    <row r="152" spans="2:16" x14ac:dyDescent="0.25">
      <c r="B152" s="201">
        <v>45078</v>
      </c>
      <c r="C152" s="201">
        <v>45108</v>
      </c>
      <c r="D152" s="188">
        <v>2325700</v>
      </c>
      <c r="E152" s="189">
        <v>9870</v>
      </c>
      <c r="L152" s="5"/>
      <c r="M152" s="3" t="s">
        <v>130</v>
      </c>
      <c r="N152" s="3">
        <f>C153-B153</f>
        <v>29</v>
      </c>
      <c r="O152" s="3"/>
      <c r="P152" s="3"/>
    </row>
    <row r="153" spans="2:16" x14ac:dyDescent="0.25">
      <c r="B153" s="201">
        <v>45078</v>
      </c>
      <c r="C153" s="201">
        <v>45107</v>
      </c>
      <c r="D153" s="195">
        <f>P149</f>
        <v>2248176.6666666665</v>
      </c>
      <c r="E153" s="197">
        <f>P150</f>
        <v>9541</v>
      </c>
    </row>
    <row r="154" spans="2:16" ht="15.75" thickBot="1" x14ac:dyDescent="0.3"/>
    <row r="155" spans="2:16" ht="15.75" thickBot="1" x14ac:dyDescent="0.3">
      <c r="B155" s="324" t="s">
        <v>67</v>
      </c>
      <c r="C155" s="325"/>
      <c r="D155" s="324" t="s">
        <v>44</v>
      </c>
      <c r="E155" s="335"/>
      <c r="F155" s="336"/>
      <c r="G155" s="377" t="s">
        <v>88</v>
      </c>
      <c r="H155" s="378"/>
      <c r="I155" s="378"/>
      <c r="J155" s="379"/>
    </row>
    <row r="156" spans="2:16" ht="15.75" thickBot="1" x14ac:dyDescent="0.3">
      <c r="B156" s="326" t="s">
        <v>31</v>
      </c>
      <c r="C156" s="327"/>
      <c r="D156" s="332" t="s">
        <v>29</v>
      </c>
      <c r="E156" s="342"/>
      <c r="F156" s="343"/>
      <c r="G156" s="380"/>
      <c r="H156" s="381"/>
      <c r="I156" s="381"/>
      <c r="J156" s="382"/>
    </row>
    <row r="157" spans="2:16" ht="15.75" thickBot="1" x14ac:dyDescent="0.3">
      <c r="B157" s="328" t="s">
        <v>74</v>
      </c>
      <c r="C157" s="329"/>
      <c r="D157" s="337" t="s">
        <v>99</v>
      </c>
      <c r="E157" s="338"/>
      <c r="F157" s="339"/>
      <c r="G157" s="64"/>
      <c r="H157" s="64"/>
      <c r="I157" s="64"/>
      <c r="J157" s="65"/>
    </row>
    <row r="158" spans="2:16" ht="30.75" thickBot="1" x14ac:dyDescent="0.3">
      <c r="B158" s="326" t="s">
        <v>0</v>
      </c>
      <c r="C158" s="327"/>
      <c r="D158" s="43" t="s">
        <v>72</v>
      </c>
      <c r="E158" s="44" t="s">
        <v>73</v>
      </c>
      <c r="F158" s="61" t="s">
        <v>64</v>
      </c>
      <c r="G158" s="272" t="s">
        <v>100</v>
      </c>
      <c r="H158" s="44" t="s">
        <v>69</v>
      </c>
      <c r="I158" s="44" t="s">
        <v>1</v>
      </c>
      <c r="J158" s="45" t="s">
        <v>2</v>
      </c>
    </row>
    <row r="159" spans="2:16" x14ac:dyDescent="0.25">
      <c r="B159" s="38">
        <v>44652</v>
      </c>
      <c r="C159" s="51">
        <v>44677</v>
      </c>
      <c r="D159" s="195">
        <f>D181</f>
        <v>2034390.9677419355</v>
      </c>
      <c r="E159" s="197">
        <f>E181</f>
        <v>9007.7419354838712</v>
      </c>
      <c r="F159" s="200">
        <f>D159-E159</f>
        <v>2025383.2258064516</v>
      </c>
      <c r="G159" s="22">
        <v>2569000</v>
      </c>
      <c r="H159" s="22">
        <f>(MIN(F159,G159))/1000</f>
        <v>2025.3832258064517</v>
      </c>
      <c r="I159" s="35">
        <v>0.93679999999999997</v>
      </c>
      <c r="J159" s="36">
        <f>H159*I159</f>
        <v>1897.379005935484</v>
      </c>
      <c r="K159" s="7"/>
    </row>
    <row r="160" spans="2:16" x14ac:dyDescent="0.25">
      <c r="B160" s="39">
        <v>44677</v>
      </c>
      <c r="C160" s="52">
        <v>44707</v>
      </c>
      <c r="D160" s="46">
        <v>2557100</v>
      </c>
      <c r="E160" s="30">
        <v>9600</v>
      </c>
      <c r="F160" s="15">
        <f t="shared" ref="F160:F167" si="35">D160-E160</f>
        <v>2547500</v>
      </c>
      <c r="G160" s="21">
        <v>2547500</v>
      </c>
      <c r="H160" s="22">
        <f t="shared" ref="H160:H167" si="36">(MIN(F160,G160))/1000</f>
        <v>2547.5</v>
      </c>
      <c r="I160" s="34">
        <v>0.93679999999999997</v>
      </c>
      <c r="J160" s="32">
        <f t="shared" ref="J160:J167" si="37">H160*I160</f>
        <v>2386.498</v>
      </c>
      <c r="K160" s="7"/>
      <c r="L160" s="3"/>
      <c r="M160" s="3"/>
      <c r="N160" s="3" t="s">
        <v>131</v>
      </c>
      <c r="O160" s="3" t="s">
        <v>132</v>
      </c>
      <c r="P160" s="3"/>
    </row>
    <row r="161" spans="2:16" x14ac:dyDescent="0.25">
      <c r="B161" s="38">
        <v>44707</v>
      </c>
      <c r="C161" s="51">
        <v>44738</v>
      </c>
      <c r="D161" s="46">
        <v>2446600</v>
      </c>
      <c r="E161" s="30">
        <v>10100</v>
      </c>
      <c r="F161" s="15">
        <f t="shared" si="35"/>
        <v>2436500</v>
      </c>
      <c r="G161" s="21">
        <v>2436500</v>
      </c>
      <c r="H161" s="22">
        <f t="shared" si="36"/>
        <v>2436.5</v>
      </c>
      <c r="I161" s="31">
        <v>0.93679999999999997</v>
      </c>
      <c r="J161" s="32">
        <f t="shared" si="37"/>
        <v>2282.5131999999999</v>
      </c>
      <c r="K161" s="7"/>
      <c r="L161" s="3" t="s">
        <v>127</v>
      </c>
      <c r="M161" s="30">
        <v>2425620</v>
      </c>
      <c r="N161" s="96">
        <f>M161/M163</f>
        <v>78245.806451612909</v>
      </c>
      <c r="O161" s="3">
        <f>N161*M164</f>
        <v>2034390.9677419355</v>
      </c>
      <c r="P161" s="3"/>
    </row>
    <row r="162" spans="2:16" x14ac:dyDescent="0.25">
      <c r="B162" s="39">
        <v>44739</v>
      </c>
      <c r="C162" s="52">
        <v>44769</v>
      </c>
      <c r="D162" s="46">
        <v>1538900</v>
      </c>
      <c r="E162" s="30">
        <v>10000</v>
      </c>
      <c r="F162" s="15">
        <f t="shared" si="35"/>
        <v>1528900</v>
      </c>
      <c r="G162" s="21">
        <v>1528900</v>
      </c>
      <c r="H162" s="22">
        <f t="shared" si="36"/>
        <v>1528.9</v>
      </c>
      <c r="I162" s="31">
        <v>0.93679999999999997</v>
      </c>
      <c r="J162" s="32">
        <f t="shared" si="37"/>
        <v>1432.27352</v>
      </c>
      <c r="K162" s="7"/>
      <c r="L162" s="3" t="s">
        <v>128</v>
      </c>
      <c r="M162" s="30">
        <v>10740</v>
      </c>
      <c r="N162" s="96">
        <f>M162/M163</f>
        <v>346.45161290322579</v>
      </c>
      <c r="O162" s="96">
        <f>N162*M164</f>
        <v>9007.7419354838712</v>
      </c>
      <c r="P162" s="3"/>
    </row>
    <row r="163" spans="2:16" x14ac:dyDescent="0.25">
      <c r="B163" s="38">
        <v>44769</v>
      </c>
      <c r="C163" s="51">
        <v>44799</v>
      </c>
      <c r="D163" s="46">
        <v>2037800</v>
      </c>
      <c r="E163" s="30">
        <v>10100</v>
      </c>
      <c r="F163" s="15">
        <f t="shared" si="35"/>
        <v>2027700</v>
      </c>
      <c r="G163" s="21">
        <v>2027700</v>
      </c>
      <c r="H163" s="22">
        <f t="shared" si="36"/>
        <v>2027.7</v>
      </c>
      <c r="I163" s="34">
        <v>0.93679999999999997</v>
      </c>
      <c r="J163" s="32">
        <f t="shared" si="37"/>
        <v>1899.54936</v>
      </c>
      <c r="K163" s="7"/>
      <c r="L163" s="3" t="s">
        <v>129</v>
      </c>
      <c r="M163" s="3">
        <f>C180-B180</f>
        <v>31</v>
      </c>
      <c r="N163" s="3"/>
      <c r="O163" s="3"/>
      <c r="P163" s="3"/>
    </row>
    <row r="164" spans="2:16" x14ac:dyDescent="0.25">
      <c r="B164" s="39">
        <v>44799</v>
      </c>
      <c r="C164" s="52">
        <v>44830</v>
      </c>
      <c r="D164" s="46">
        <v>2273200</v>
      </c>
      <c r="E164" s="14">
        <v>11200</v>
      </c>
      <c r="F164" s="15">
        <f t="shared" si="35"/>
        <v>2262000</v>
      </c>
      <c r="G164" s="21">
        <v>2262040</v>
      </c>
      <c r="H164" s="22">
        <f t="shared" si="36"/>
        <v>2262</v>
      </c>
      <c r="I164" s="31">
        <v>0.93679999999999997</v>
      </c>
      <c r="J164" s="32">
        <f t="shared" si="37"/>
        <v>2119.0416</v>
      </c>
      <c r="K164" s="7"/>
      <c r="L164" s="3" t="s">
        <v>130</v>
      </c>
      <c r="M164" s="3">
        <f>C181-B181+1</f>
        <v>26</v>
      </c>
      <c r="N164" s="3"/>
      <c r="O164" s="3"/>
      <c r="P164" s="3"/>
    </row>
    <row r="165" spans="2:16" x14ac:dyDescent="0.25">
      <c r="B165" s="38">
        <v>44830</v>
      </c>
      <c r="C165" s="51">
        <v>44860</v>
      </c>
      <c r="D165" s="46">
        <v>2028800</v>
      </c>
      <c r="E165" s="30">
        <v>11200</v>
      </c>
      <c r="F165" s="15">
        <f t="shared" si="35"/>
        <v>2017600</v>
      </c>
      <c r="G165" s="21">
        <v>2018000</v>
      </c>
      <c r="H165" s="22">
        <f t="shared" si="36"/>
        <v>2017.6</v>
      </c>
      <c r="I165" s="31">
        <v>0.93679999999999997</v>
      </c>
      <c r="J165" s="32">
        <f t="shared" si="37"/>
        <v>1890.0876799999999</v>
      </c>
      <c r="K165" s="7"/>
      <c r="L165" s="3"/>
      <c r="M165" s="3"/>
      <c r="N165" s="3"/>
      <c r="O165" s="3"/>
      <c r="P165" s="3"/>
    </row>
    <row r="166" spans="2:16" x14ac:dyDescent="0.25">
      <c r="B166" s="39">
        <v>44860</v>
      </c>
      <c r="C166" s="52">
        <v>44891</v>
      </c>
      <c r="D166" s="46">
        <v>2376500</v>
      </c>
      <c r="E166" s="30">
        <v>11800</v>
      </c>
      <c r="F166" s="15">
        <f t="shared" si="35"/>
        <v>2364700</v>
      </c>
      <c r="G166" s="21">
        <v>2365340</v>
      </c>
      <c r="H166" s="22">
        <f t="shared" si="36"/>
        <v>2364.6999999999998</v>
      </c>
      <c r="I166" s="34">
        <v>0.93679999999999997</v>
      </c>
      <c r="J166" s="32">
        <f t="shared" si="37"/>
        <v>2215.2509599999998</v>
      </c>
      <c r="K166" s="7"/>
    </row>
    <row r="167" spans="2:16" ht="15.75" thickBot="1" x14ac:dyDescent="0.3">
      <c r="B167" s="38">
        <v>44891</v>
      </c>
      <c r="C167" s="51">
        <v>44922</v>
      </c>
      <c r="D167" s="47">
        <v>2009600</v>
      </c>
      <c r="E167" s="30">
        <v>11200</v>
      </c>
      <c r="F167" s="15">
        <f t="shared" si="35"/>
        <v>1998400</v>
      </c>
      <c r="G167" s="33">
        <v>1998440</v>
      </c>
      <c r="H167" s="22">
        <f t="shared" si="36"/>
        <v>1998.4</v>
      </c>
      <c r="I167" s="41">
        <v>0.93679999999999997</v>
      </c>
      <c r="J167" s="42">
        <f t="shared" si="37"/>
        <v>1872.10112</v>
      </c>
      <c r="K167" s="7"/>
    </row>
    <row r="168" spans="2:16" ht="15.75" thickBot="1" x14ac:dyDescent="0.3">
      <c r="B168" s="330" t="s">
        <v>70</v>
      </c>
      <c r="C168" s="331"/>
      <c r="D168" s="84">
        <f>SUM(D159:D167)</f>
        <v>19302890.967741936</v>
      </c>
      <c r="E168" s="62">
        <f t="shared" ref="E168:H168" si="38">SUM(E159:E167)</f>
        <v>94207.741935483878</v>
      </c>
      <c r="F168" s="50">
        <f t="shared" si="38"/>
        <v>19208683.225806452</v>
      </c>
      <c r="G168" s="49">
        <f t="shared" si="38"/>
        <v>19753420</v>
      </c>
      <c r="H168" s="49">
        <f t="shared" si="38"/>
        <v>19208.683225806453</v>
      </c>
      <c r="I168" s="54">
        <v>0.93679999999999997</v>
      </c>
      <c r="J168" s="55">
        <f>ROUNDDOWN(H168*I168,0)</f>
        <v>17994</v>
      </c>
    </row>
    <row r="169" spans="2:16" x14ac:dyDescent="0.25">
      <c r="B169" s="38">
        <v>44922</v>
      </c>
      <c r="C169" s="51">
        <v>44951</v>
      </c>
      <c r="D169" s="37">
        <v>2143100</v>
      </c>
      <c r="E169" s="14">
        <v>10600</v>
      </c>
      <c r="F169" s="15">
        <f>D169-E169</f>
        <v>2132500</v>
      </c>
      <c r="G169" s="22">
        <v>2132660</v>
      </c>
      <c r="H169" s="22">
        <f>(MIN(F169,G169))/1000</f>
        <v>2132.5</v>
      </c>
      <c r="I169" s="35">
        <v>0.93679999999999997</v>
      </c>
      <c r="J169" s="36">
        <f>H169*I169</f>
        <v>1997.7259999999999</v>
      </c>
      <c r="K169" s="7"/>
    </row>
    <row r="170" spans="2:16" x14ac:dyDescent="0.25">
      <c r="B170" s="39">
        <v>44951</v>
      </c>
      <c r="C170" s="52">
        <v>44982</v>
      </c>
      <c r="D170" s="46">
        <v>2696700</v>
      </c>
      <c r="E170" s="30">
        <v>11200</v>
      </c>
      <c r="F170" s="15">
        <f t="shared" ref="F170:F175" si="39">D170-E170</f>
        <v>2685500</v>
      </c>
      <c r="G170" s="21">
        <v>2685540</v>
      </c>
      <c r="H170" s="22">
        <f t="shared" ref="H170:H175" si="40">(MIN(F170,G170))/1000</f>
        <v>2685.5</v>
      </c>
      <c r="I170" s="31">
        <v>0.93679999999999997</v>
      </c>
      <c r="J170" s="32">
        <f t="shared" ref="J170:J175" si="41">H170*I170</f>
        <v>2515.7763999999997</v>
      </c>
      <c r="K170" s="7"/>
    </row>
    <row r="171" spans="2:16" x14ac:dyDescent="0.25">
      <c r="B171" s="39">
        <v>44982</v>
      </c>
      <c r="C171" s="52">
        <v>45010</v>
      </c>
      <c r="D171" s="46">
        <v>2264300</v>
      </c>
      <c r="E171" s="30">
        <v>14500</v>
      </c>
      <c r="F171" s="15">
        <f t="shared" si="39"/>
        <v>2249800</v>
      </c>
      <c r="G171" s="21">
        <v>2254220</v>
      </c>
      <c r="H171" s="22">
        <f t="shared" si="40"/>
        <v>2249.8000000000002</v>
      </c>
      <c r="I171" s="31">
        <v>0.93679999999999997</v>
      </c>
      <c r="J171" s="32">
        <f t="shared" si="41"/>
        <v>2107.6126400000003</v>
      </c>
      <c r="K171" s="7"/>
    </row>
    <row r="172" spans="2:16" x14ac:dyDescent="0.25">
      <c r="B172" s="39">
        <v>45010</v>
      </c>
      <c r="C172" s="52">
        <v>45017</v>
      </c>
      <c r="D172" s="46">
        <v>576200</v>
      </c>
      <c r="E172" s="30">
        <v>2200</v>
      </c>
      <c r="F172" s="15">
        <f t="shared" si="39"/>
        <v>574000</v>
      </c>
      <c r="G172" s="21">
        <v>574000</v>
      </c>
      <c r="H172" s="22">
        <f t="shared" si="40"/>
        <v>574</v>
      </c>
      <c r="I172" s="31">
        <v>0.93679999999999997</v>
      </c>
      <c r="J172" s="32">
        <f t="shared" si="41"/>
        <v>537.72320000000002</v>
      </c>
      <c r="K172" s="7"/>
    </row>
    <row r="173" spans="2:16" x14ac:dyDescent="0.25">
      <c r="B173" s="39">
        <v>45017</v>
      </c>
      <c r="C173" s="52">
        <v>45047</v>
      </c>
      <c r="D173" s="46">
        <v>2587100</v>
      </c>
      <c r="E173" s="30">
        <v>10300</v>
      </c>
      <c r="F173" s="15">
        <f t="shared" si="39"/>
        <v>2576800</v>
      </c>
      <c r="G173" s="21">
        <v>2576800</v>
      </c>
      <c r="H173" s="22">
        <f t="shared" si="40"/>
        <v>2576.8000000000002</v>
      </c>
      <c r="I173" s="31">
        <v>0.93679999999999997</v>
      </c>
      <c r="J173" s="32">
        <f t="shared" si="41"/>
        <v>2413.9462400000002</v>
      </c>
      <c r="K173" s="7"/>
    </row>
    <row r="174" spans="2:16" x14ac:dyDescent="0.25">
      <c r="B174" s="39">
        <v>45047</v>
      </c>
      <c r="C174" s="52">
        <v>45078</v>
      </c>
      <c r="D174" s="47">
        <v>2818400</v>
      </c>
      <c r="E174" s="14">
        <v>10100</v>
      </c>
      <c r="F174" s="15">
        <f t="shared" si="39"/>
        <v>2808300</v>
      </c>
      <c r="G174" s="33">
        <v>2808400</v>
      </c>
      <c r="H174" s="22">
        <f t="shared" si="40"/>
        <v>2808.3</v>
      </c>
      <c r="I174" s="31">
        <v>0.93679999999999997</v>
      </c>
      <c r="J174" s="32">
        <f t="shared" si="41"/>
        <v>2630.8154399999999</v>
      </c>
      <c r="K174" s="7"/>
    </row>
    <row r="175" spans="2:16" ht="15.75" thickBot="1" x14ac:dyDescent="0.3">
      <c r="B175" s="39">
        <v>45078</v>
      </c>
      <c r="C175" s="52">
        <v>45107</v>
      </c>
      <c r="D175" s="254">
        <f>D184</f>
        <v>2538678.125</v>
      </c>
      <c r="E175" s="197">
        <f>E184</f>
        <v>9153.125</v>
      </c>
      <c r="F175" s="190">
        <f t="shared" si="39"/>
        <v>2529525</v>
      </c>
      <c r="G175" s="33">
        <v>2791100</v>
      </c>
      <c r="H175" s="22">
        <f t="shared" si="40"/>
        <v>2529.5250000000001</v>
      </c>
      <c r="I175" s="41">
        <v>0.93679999999999997</v>
      </c>
      <c r="J175" s="42">
        <f t="shared" si="41"/>
        <v>2369.6590200000001</v>
      </c>
      <c r="K175" s="7"/>
    </row>
    <row r="176" spans="2:16" ht="15.75" thickBot="1" x14ac:dyDescent="0.3">
      <c r="B176" s="330" t="s">
        <v>71</v>
      </c>
      <c r="C176" s="331"/>
      <c r="D176" s="84">
        <f>SUM(D169:D175)</f>
        <v>15624478.125</v>
      </c>
      <c r="E176" s="62">
        <f>SUM(E169:E175)</f>
        <v>68053.125</v>
      </c>
      <c r="F176" s="50">
        <f>SUM(F169:F175)</f>
        <v>15556425</v>
      </c>
      <c r="G176" s="62">
        <f>SUM(G169:G175)</f>
        <v>15822720</v>
      </c>
      <c r="H176" s="62">
        <f>SUM(H169:H175)</f>
        <v>15556.425000000001</v>
      </c>
      <c r="I176" s="54">
        <v>0.93679999999999997</v>
      </c>
      <c r="J176" s="55">
        <f>ROUNDDOWN(H176*I176,0)</f>
        <v>14573</v>
      </c>
    </row>
    <row r="177" spans="2:16" ht="15.75" thickBot="1" x14ac:dyDescent="0.3">
      <c r="B177" s="345" t="s">
        <v>3</v>
      </c>
      <c r="C177" s="346"/>
      <c r="D177" s="89">
        <f>D176+D168</f>
        <v>34927369.092741936</v>
      </c>
      <c r="E177" s="90">
        <f>E168+E176</f>
        <v>162260.86693548388</v>
      </c>
      <c r="F177" s="78">
        <f>F176+F168</f>
        <v>34765108.225806452</v>
      </c>
      <c r="G177" s="58">
        <f>G176+G168</f>
        <v>35576140</v>
      </c>
      <c r="H177" s="58">
        <f>SUM(H168+H176)</f>
        <v>34765.108225806456</v>
      </c>
      <c r="I177" s="59">
        <v>0.93679999999999997</v>
      </c>
      <c r="J177" s="60">
        <f>ROUNDDOWN(SUM(J168+J176),0)</f>
        <v>32567</v>
      </c>
      <c r="L177" s="306">
        <v>45078</v>
      </c>
      <c r="M177" s="307"/>
      <c r="N177" s="307"/>
      <c r="O177" s="307"/>
      <c r="P177" s="308"/>
    </row>
    <row r="178" spans="2:16" x14ac:dyDescent="0.25">
      <c r="L178" s="5"/>
      <c r="M178" s="3"/>
      <c r="N178" s="3"/>
      <c r="O178" s="3" t="s">
        <v>131</v>
      </c>
      <c r="P178" s="3" t="s">
        <v>139</v>
      </c>
    </row>
    <row r="179" spans="2:16" x14ac:dyDescent="0.25">
      <c r="L179" s="5"/>
      <c r="M179" s="3" t="s">
        <v>127</v>
      </c>
      <c r="N179" s="30">
        <v>2801300</v>
      </c>
      <c r="O179" s="96">
        <f>N179/N181</f>
        <v>87540.625</v>
      </c>
      <c r="P179" s="96">
        <f>O179*N182</f>
        <v>2538678.125</v>
      </c>
    </row>
    <row r="180" spans="2:16" x14ac:dyDescent="0.25">
      <c r="B180" s="201">
        <v>44646</v>
      </c>
      <c r="C180" s="201">
        <v>44677</v>
      </c>
      <c r="D180" s="211">
        <v>2579400</v>
      </c>
      <c r="E180" s="211">
        <v>10400</v>
      </c>
      <c r="L180" s="5"/>
      <c r="M180" s="3" t="s">
        <v>128</v>
      </c>
      <c r="N180" s="30">
        <v>10100</v>
      </c>
      <c r="O180" s="96">
        <f>N180/N181</f>
        <v>315.625</v>
      </c>
      <c r="P180" s="96">
        <f>O180*N182</f>
        <v>9153.125</v>
      </c>
    </row>
    <row r="181" spans="2:16" x14ac:dyDescent="0.25">
      <c r="B181" s="201">
        <v>44652</v>
      </c>
      <c r="C181" s="201">
        <v>44677</v>
      </c>
      <c r="D181" s="202">
        <f>O161</f>
        <v>2034390.9677419355</v>
      </c>
      <c r="E181" s="202">
        <f>O162</f>
        <v>9007.7419354838712</v>
      </c>
      <c r="L181" s="5"/>
      <c r="M181" s="3" t="s">
        <v>129</v>
      </c>
      <c r="N181" s="3">
        <f>C183-B183</f>
        <v>32</v>
      </c>
      <c r="O181" s="3"/>
      <c r="P181" s="3"/>
    </row>
    <row r="182" spans="2:16" x14ac:dyDescent="0.25">
      <c r="L182" s="5"/>
      <c r="M182" s="3" t="s">
        <v>130</v>
      </c>
      <c r="N182" s="3">
        <f>C184-B184</f>
        <v>29</v>
      </c>
      <c r="O182" s="3"/>
      <c r="P182" s="3"/>
    </row>
    <row r="183" spans="2:16" x14ac:dyDescent="0.25">
      <c r="B183" s="201">
        <v>45078</v>
      </c>
      <c r="C183" s="201">
        <v>45110</v>
      </c>
      <c r="D183" s="188">
        <v>2801300</v>
      </c>
      <c r="E183" s="189">
        <v>10100</v>
      </c>
    </row>
    <row r="184" spans="2:16" x14ac:dyDescent="0.25">
      <c r="B184" s="201">
        <v>45078</v>
      </c>
      <c r="C184" s="201">
        <v>45107</v>
      </c>
      <c r="D184" s="195">
        <f>P179</f>
        <v>2538678.125</v>
      </c>
      <c r="E184" s="197">
        <f>P180</f>
        <v>9153.125</v>
      </c>
    </row>
    <row r="188" spans="2:16" ht="75" customHeight="1" x14ac:dyDescent="0.25">
      <c r="B188" s="375" t="s">
        <v>143</v>
      </c>
      <c r="C188" s="375"/>
      <c r="D188" s="375"/>
      <c r="E188" s="375"/>
      <c r="F188" s="375"/>
      <c r="G188" s="375"/>
      <c r="H188" s="375"/>
      <c r="I188" s="375"/>
    </row>
  </sheetData>
  <mergeCells count="77">
    <mergeCell ref="K4:M4"/>
    <mergeCell ref="B28:C28"/>
    <mergeCell ref="B36:C36"/>
    <mergeCell ref="D36:F36"/>
    <mergeCell ref="G36:J37"/>
    <mergeCell ref="B37:C37"/>
    <mergeCell ref="B8:C8"/>
    <mergeCell ref="D8:F8"/>
    <mergeCell ref="B9:C9"/>
    <mergeCell ref="B19:C19"/>
    <mergeCell ref="B27:C27"/>
    <mergeCell ref="B6:C6"/>
    <mergeCell ref="D6:F6"/>
    <mergeCell ref="G6:J7"/>
    <mergeCell ref="B7:C7"/>
    <mergeCell ref="D7:F7"/>
    <mergeCell ref="D37:F37"/>
    <mergeCell ref="B38:C38"/>
    <mergeCell ref="D38:F38"/>
    <mergeCell ref="B39:C39"/>
    <mergeCell ref="B49:C49"/>
    <mergeCell ref="B57:C57"/>
    <mergeCell ref="B58:C58"/>
    <mergeCell ref="B66:C66"/>
    <mergeCell ref="D66:F66"/>
    <mergeCell ref="G66:J67"/>
    <mergeCell ref="B67:C67"/>
    <mergeCell ref="D67:F67"/>
    <mergeCell ref="B68:C68"/>
    <mergeCell ref="D68:F68"/>
    <mergeCell ref="B69:C69"/>
    <mergeCell ref="B79:C79"/>
    <mergeCell ref="B87:C87"/>
    <mergeCell ref="B96:C96"/>
    <mergeCell ref="D96:F96"/>
    <mergeCell ref="G96:J97"/>
    <mergeCell ref="B97:C97"/>
    <mergeCell ref="D97:F97"/>
    <mergeCell ref="B127:C127"/>
    <mergeCell ref="D127:F127"/>
    <mergeCell ref="B98:C98"/>
    <mergeCell ref="D98:F98"/>
    <mergeCell ref="B99:C99"/>
    <mergeCell ref="B109:C109"/>
    <mergeCell ref="B117:C117"/>
    <mergeCell ref="B2:F2"/>
    <mergeCell ref="B3:F3"/>
    <mergeCell ref="B4:F4"/>
    <mergeCell ref="B157:C157"/>
    <mergeCell ref="D157:F157"/>
    <mergeCell ref="B147:C147"/>
    <mergeCell ref="B155:C155"/>
    <mergeCell ref="D155:F155"/>
    <mergeCell ref="B118:C118"/>
    <mergeCell ref="B126:C126"/>
    <mergeCell ref="D126:F126"/>
    <mergeCell ref="B88:C88"/>
    <mergeCell ref="B156:C156"/>
    <mergeCell ref="D156:F156"/>
    <mergeCell ref="B128:C128"/>
    <mergeCell ref="D128:F128"/>
    <mergeCell ref="B188:I188"/>
    <mergeCell ref="L177:P177"/>
    <mergeCell ref="L28:P28"/>
    <mergeCell ref="L59:P59"/>
    <mergeCell ref="L88:P88"/>
    <mergeCell ref="L118:P118"/>
    <mergeCell ref="L147:P147"/>
    <mergeCell ref="B177:C177"/>
    <mergeCell ref="B158:C158"/>
    <mergeCell ref="B168:C168"/>
    <mergeCell ref="B176:C176"/>
    <mergeCell ref="G155:J156"/>
    <mergeCell ref="B129:C129"/>
    <mergeCell ref="B139:C139"/>
    <mergeCell ref="B146:C146"/>
    <mergeCell ref="G126:J127"/>
  </mergeCells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Q45"/>
  <sheetViews>
    <sheetView zoomScaleNormal="100" workbookViewId="0">
      <selection activeCell="M41" sqref="M41"/>
    </sheetView>
  </sheetViews>
  <sheetFormatPr defaultColWidth="9.140625" defaultRowHeight="15" x14ac:dyDescent="0.25"/>
  <cols>
    <col min="1" max="1" width="9.140625" style="1"/>
    <col min="2" max="3" width="10.28515625" style="1" bestFit="1" customWidth="1"/>
    <col min="4" max="4" width="10" style="1" bestFit="1" customWidth="1"/>
    <col min="5" max="5" width="7.42578125" style="24" bestFit="1" customWidth="1"/>
    <col min="6" max="6" width="10.42578125" style="1" bestFit="1" customWidth="1"/>
    <col min="7" max="7" width="18" style="1" bestFit="1" customWidth="1"/>
    <col min="8" max="8" width="18.28515625" style="1" bestFit="1" customWidth="1"/>
    <col min="9" max="9" width="8.85546875" style="1" bestFit="1" customWidth="1"/>
    <col min="10" max="10" width="10.85546875" style="1" bestFit="1" customWidth="1"/>
    <col min="11" max="11" width="11.140625" style="1" bestFit="1" customWidth="1"/>
    <col min="12" max="12" width="11.28515625" style="1" bestFit="1" customWidth="1"/>
    <col min="13" max="13" width="33.140625" style="1" customWidth="1"/>
    <col min="14" max="14" width="14.140625" style="1" bestFit="1" customWidth="1"/>
    <col min="15" max="16384" width="9.140625" style="1"/>
  </cols>
  <sheetData>
    <row r="1" spans="2:17" ht="15.75" thickBot="1" x14ac:dyDescent="0.3">
      <c r="K1" s="130"/>
    </row>
    <row r="2" spans="2:17" s="24" customFormat="1" x14ac:dyDescent="0.25">
      <c r="B2" s="315" t="s">
        <v>57</v>
      </c>
      <c r="C2" s="316"/>
      <c r="D2" s="316"/>
      <c r="E2" s="316"/>
      <c r="F2" s="317"/>
      <c r="G2" s="27">
        <v>50</v>
      </c>
    </row>
    <row r="3" spans="2:17" s="24" customFormat="1" x14ac:dyDescent="0.25">
      <c r="B3" s="321" t="s">
        <v>58</v>
      </c>
      <c r="C3" s="322"/>
      <c r="D3" s="322"/>
      <c r="E3" s="322"/>
      <c r="F3" s="323"/>
      <c r="G3" s="28">
        <f>H28</f>
        <v>108058.224</v>
      </c>
    </row>
    <row r="4" spans="2:17" s="24" customFormat="1" ht="15.75" thickBot="1" x14ac:dyDescent="0.3">
      <c r="B4" s="318" t="s">
        <v>59</v>
      </c>
      <c r="C4" s="319"/>
      <c r="D4" s="319"/>
      <c r="E4" s="319"/>
      <c r="F4" s="320"/>
      <c r="G4" s="29">
        <f>J28</f>
        <v>101228</v>
      </c>
      <c r="K4" s="282"/>
      <c r="L4" s="282"/>
      <c r="M4" s="282"/>
    </row>
    <row r="5" spans="2:17" ht="15.75" thickBot="1" x14ac:dyDescent="0.3">
      <c r="K5" s="130"/>
    </row>
    <row r="6" spans="2:17" ht="15.75" thickBot="1" x14ac:dyDescent="0.3">
      <c r="B6" s="324" t="s">
        <v>67</v>
      </c>
      <c r="C6" s="325"/>
      <c r="D6" s="324" t="s">
        <v>48</v>
      </c>
      <c r="E6" s="335"/>
      <c r="F6" s="336"/>
      <c r="G6" s="377" t="s">
        <v>93</v>
      </c>
      <c r="H6" s="378"/>
      <c r="I6" s="378"/>
      <c r="J6" s="379"/>
    </row>
    <row r="7" spans="2:17" ht="15.75" thickBot="1" x14ac:dyDescent="0.3">
      <c r="B7" s="326" t="s">
        <v>31</v>
      </c>
      <c r="C7" s="327"/>
      <c r="D7" s="332" t="s">
        <v>46</v>
      </c>
      <c r="E7" s="342"/>
      <c r="F7" s="343"/>
      <c r="G7" s="380"/>
      <c r="H7" s="381"/>
      <c r="I7" s="381"/>
      <c r="J7" s="382"/>
    </row>
    <row r="8" spans="2:17" ht="15.75" thickBot="1" x14ac:dyDescent="0.3">
      <c r="B8" s="328" t="s">
        <v>74</v>
      </c>
      <c r="C8" s="329"/>
      <c r="D8" s="337" t="s">
        <v>89</v>
      </c>
      <c r="E8" s="338"/>
      <c r="F8" s="339"/>
      <c r="G8" s="64"/>
      <c r="H8" s="64"/>
      <c r="I8" s="64"/>
      <c r="J8" s="65"/>
    </row>
    <row r="9" spans="2:17" ht="30.75" thickBot="1" x14ac:dyDescent="0.3">
      <c r="B9" s="326" t="s">
        <v>0</v>
      </c>
      <c r="C9" s="327"/>
      <c r="D9" s="43" t="s">
        <v>65</v>
      </c>
      <c r="E9" s="44" t="s">
        <v>66</v>
      </c>
      <c r="F9" s="61" t="s">
        <v>64</v>
      </c>
      <c r="G9" s="44" t="s">
        <v>68</v>
      </c>
      <c r="H9" s="272" t="s">
        <v>69</v>
      </c>
      <c r="I9" s="44" t="s">
        <v>1</v>
      </c>
      <c r="J9" s="45" t="s">
        <v>2</v>
      </c>
    </row>
    <row r="10" spans="2:17" x14ac:dyDescent="0.25">
      <c r="B10" s="38">
        <v>44652</v>
      </c>
      <c r="C10" s="51">
        <v>44676</v>
      </c>
      <c r="D10" s="195">
        <f>D32</f>
        <v>6938688</v>
      </c>
      <c r="E10" s="197">
        <f>E32</f>
        <v>32064</v>
      </c>
      <c r="F10" s="200">
        <f>D10-E10</f>
        <v>6906624</v>
      </c>
      <c r="G10" s="22">
        <v>9319400</v>
      </c>
      <c r="H10" s="22">
        <f>(MIN(F10,G10))/1000</f>
        <v>6906.6239999999998</v>
      </c>
      <c r="I10" s="35">
        <v>0.93679999999999997</v>
      </c>
      <c r="J10" s="36">
        <f>H10*I10</f>
        <v>6470.1253631999998</v>
      </c>
      <c r="K10" s="244"/>
      <c r="M10" s="24"/>
      <c r="N10" s="24"/>
      <c r="O10" s="24"/>
      <c r="P10" s="24"/>
      <c r="Q10" s="24"/>
    </row>
    <row r="11" spans="2:17" x14ac:dyDescent="0.25">
      <c r="B11" s="39">
        <v>44676</v>
      </c>
      <c r="C11" s="52">
        <v>44706</v>
      </c>
      <c r="D11" s="46">
        <v>9306000</v>
      </c>
      <c r="E11" s="30">
        <v>42400</v>
      </c>
      <c r="F11" s="15">
        <f t="shared" ref="F11:F18" si="0">D11-E11</f>
        <v>9263600</v>
      </c>
      <c r="G11" s="21">
        <v>9270000</v>
      </c>
      <c r="H11" s="22">
        <f t="shared" ref="H11:H18" si="1">(MIN(F11,G11))/1000</f>
        <v>9263.6</v>
      </c>
      <c r="I11" s="34">
        <v>0.93679999999999997</v>
      </c>
      <c r="J11" s="32">
        <f t="shared" ref="J11:J18" si="2">H11*I11</f>
        <v>8678.14048</v>
      </c>
      <c r="K11" s="244"/>
      <c r="M11" s="24"/>
      <c r="N11" s="24"/>
      <c r="O11" s="24"/>
      <c r="P11" s="24"/>
      <c r="Q11" s="24"/>
    </row>
    <row r="12" spans="2:17" ht="30" x14ac:dyDescent="0.25">
      <c r="B12" s="236">
        <v>44706</v>
      </c>
      <c r="C12" s="237">
        <v>44736</v>
      </c>
      <c r="D12" s="46">
        <v>7881400</v>
      </c>
      <c r="E12" s="30">
        <v>42200</v>
      </c>
      <c r="F12" s="15">
        <f t="shared" si="0"/>
        <v>7839200</v>
      </c>
      <c r="G12" s="21">
        <v>7845400</v>
      </c>
      <c r="H12" s="22">
        <f t="shared" si="1"/>
        <v>7839.2</v>
      </c>
      <c r="I12" s="31">
        <v>0.93679999999999997</v>
      </c>
      <c r="J12" s="32">
        <f t="shared" si="2"/>
        <v>7343.7625599999992</v>
      </c>
      <c r="K12" s="244"/>
      <c r="M12" s="3"/>
      <c r="N12" s="3"/>
      <c r="O12" s="253" t="s">
        <v>131</v>
      </c>
      <c r="P12" s="253" t="s">
        <v>132</v>
      </c>
      <c r="Q12" s="24"/>
    </row>
    <row r="13" spans="2:17" x14ac:dyDescent="0.25">
      <c r="B13" s="239">
        <v>44736</v>
      </c>
      <c r="C13" s="240">
        <v>44765</v>
      </c>
      <c r="D13" s="46">
        <v>3617200</v>
      </c>
      <c r="E13" s="30">
        <v>34200</v>
      </c>
      <c r="F13" s="15">
        <f t="shared" si="0"/>
        <v>3583000</v>
      </c>
      <c r="G13" s="21">
        <v>3583000</v>
      </c>
      <c r="H13" s="22">
        <f t="shared" si="1"/>
        <v>3583</v>
      </c>
      <c r="I13" s="31">
        <v>0.93679999999999997</v>
      </c>
      <c r="J13" s="32">
        <f t="shared" si="2"/>
        <v>3356.5544</v>
      </c>
      <c r="K13" s="244"/>
      <c r="M13" s="3" t="s">
        <v>127</v>
      </c>
      <c r="N13" s="30">
        <v>7227800</v>
      </c>
      <c r="O13" s="96">
        <f>N13/N15</f>
        <v>289112</v>
      </c>
      <c r="P13" s="3">
        <f>O13*N16</f>
        <v>6938688</v>
      </c>
      <c r="Q13" s="24"/>
    </row>
    <row r="14" spans="2:17" x14ac:dyDescent="0.25">
      <c r="B14" s="236">
        <v>44765</v>
      </c>
      <c r="C14" s="237">
        <v>44798</v>
      </c>
      <c r="D14" s="46">
        <v>5430600</v>
      </c>
      <c r="E14" s="30">
        <v>46400</v>
      </c>
      <c r="F14" s="15">
        <f t="shared" si="0"/>
        <v>5384200</v>
      </c>
      <c r="G14" s="21">
        <v>5391000</v>
      </c>
      <c r="H14" s="22">
        <f t="shared" si="1"/>
        <v>5384.2</v>
      </c>
      <c r="I14" s="34">
        <v>0.93679999999999997</v>
      </c>
      <c r="J14" s="32">
        <f t="shared" si="2"/>
        <v>5043.9185600000001</v>
      </c>
      <c r="K14" s="244"/>
      <c r="M14" s="3" t="s">
        <v>128</v>
      </c>
      <c r="N14" s="30">
        <v>33400</v>
      </c>
      <c r="O14" s="96">
        <f>N14/N15</f>
        <v>1336</v>
      </c>
      <c r="P14" s="96">
        <f>O14*N16</f>
        <v>32064</v>
      </c>
      <c r="Q14" s="24"/>
    </row>
    <row r="15" spans="2:17" x14ac:dyDescent="0.25">
      <c r="B15" s="239">
        <v>44798</v>
      </c>
      <c r="C15" s="240">
        <v>44828</v>
      </c>
      <c r="D15" s="154">
        <v>4671600</v>
      </c>
      <c r="E15" s="238">
        <v>39800</v>
      </c>
      <c r="F15" s="243">
        <f t="shared" si="0"/>
        <v>4631800</v>
      </c>
      <c r="G15" s="21">
        <v>4635600</v>
      </c>
      <c r="H15" s="22">
        <f t="shared" si="1"/>
        <v>4631.8</v>
      </c>
      <c r="I15" s="31">
        <v>0.93679999999999997</v>
      </c>
      <c r="J15" s="32">
        <f t="shared" si="2"/>
        <v>4339.07024</v>
      </c>
      <c r="K15" s="244"/>
      <c r="M15" s="3" t="s">
        <v>129</v>
      </c>
      <c r="N15" s="3">
        <f>C31-B31</f>
        <v>25</v>
      </c>
      <c r="O15" s="3"/>
      <c r="P15" s="3"/>
      <c r="Q15" s="24"/>
    </row>
    <row r="16" spans="2:17" x14ac:dyDescent="0.25">
      <c r="B16" s="236">
        <v>44828</v>
      </c>
      <c r="C16" s="237">
        <v>44860</v>
      </c>
      <c r="D16" s="154">
        <v>6411000</v>
      </c>
      <c r="E16" s="3">
        <v>50200</v>
      </c>
      <c r="F16" s="243">
        <f t="shared" si="0"/>
        <v>6360800</v>
      </c>
      <c r="G16" s="21">
        <v>6372600</v>
      </c>
      <c r="H16" s="22">
        <f t="shared" si="1"/>
        <v>6360.8</v>
      </c>
      <c r="I16" s="31">
        <v>0.93679999999999997</v>
      </c>
      <c r="J16" s="32">
        <f t="shared" si="2"/>
        <v>5958.7974400000003</v>
      </c>
      <c r="K16" s="244"/>
      <c r="M16" s="3" t="s">
        <v>130</v>
      </c>
      <c r="N16" s="3">
        <f>C32-B32</f>
        <v>24</v>
      </c>
      <c r="O16" s="3"/>
      <c r="P16" s="3"/>
      <c r="Q16" s="24"/>
    </row>
    <row r="17" spans="2:17" x14ac:dyDescent="0.25">
      <c r="B17" s="239">
        <v>44860</v>
      </c>
      <c r="C17" s="240">
        <v>44889</v>
      </c>
      <c r="D17" s="154">
        <v>6842800</v>
      </c>
      <c r="E17" s="3">
        <v>47800</v>
      </c>
      <c r="F17" s="243">
        <f t="shared" si="0"/>
        <v>6795000</v>
      </c>
      <c r="G17" s="21">
        <v>6808000</v>
      </c>
      <c r="H17" s="22">
        <f t="shared" si="1"/>
        <v>6795</v>
      </c>
      <c r="I17" s="34">
        <v>0.93679999999999997</v>
      </c>
      <c r="J17" s="32">
        <f t="shared" si="2"/>
        <v>6365.5559999999996</v>
      </c>
      <c r="K17" s="244"/>
      <c r="M17" s="24"/>
      <c r="N17" s="24"/>
      <c r="O17" s="24"/>
      <c r="P17" s="24"/>
      <c r="Q17" s="24"/>
    </row>
    <row r="18" spans="2:17" ht="15.75" thickBot="1" x14ac:dyDescent="0.3">
      <c r="B18" s="236">
        <v>44889</v>
      </c>
      <c r="C18" s="237">
        <v>44919</v>
      </c>
      <c r="D18" s="186">
        <v>7713400</v>
      </c>
      <c r="E18" s="3">
        <v>51000</v>
      </c>
      <c r="F18" s="243">
        <f t="shared" si="0"/>
        <v>7662400</v>
      </c>
      <c r="G18" s="33">
        <v>7677400</v>
      </c>
      <c r="H18" s="22">
        <f t="shared" si="1"/>
        <v>7662.4</v>
      </c>
      <c r="I18" s="41">
        <v>0.93679999999999997</v>
      </c>
      <c r="J18" s="42">
        <f t="shared" si="2"/>
        <v>7178.1363199999996</v>
      </c>
      <c r="K18" s="244"/>
      <c r="M18" s="24"/>
      <c r="N18" s="24"/>
      <c r="O18" s="24"/>
      <c r="P18" s="24"/>
      <c r="Q18" s="24"/>
    </row>
    <row r="19" spans="2:17" ht="15.75" thickBot="1" x14ac:dyDescent="0.3">
      <c r="B19" s="330" t="s">
        <v>70</v>
      </c>
      <c r="C19" s="331"/>
      <c r="D19" s="48">
        <f>SUM(D10:D18)</f>
        <v>58812688</v>
      </c>
      <c r="E19" s="49">
        <f t="shared" ref="E19:H19" si="3">SUM(E10:E18)</f>
        <v>386064</v>
      </c>
      <c r="F19" s="50">
        <f t="shared" si="3"/>
        <v>58426624</v>
      </c>
      <c r="G19" s="49">
        <f t="shared" si="3"/>
        <v>60902400</v>
      </c>
      <c r="H19" s="49">
        <f t="shared" si="3"/>
        <v>58426.624000000003</v>
      </c>
      <c r="I19" s="54">
        <v>0.93679999999999997</v>
      </c>
      <c r="J19" s="55">
        <f>ROUNDDOWN(H19*I19,0)</f>
        <v>54734</v>
      </c>
    </row>
    <row r="20" spans="2:17" x14ac:dyDescent="0.25">
      <c r="B20" s="236">
        <v>44919</v>
      </c>
      <c r="C20" s="237">
        <v>44949</v>
      </c>
      <c r="D20" s="185">
        <v>8520000</v>
      </c>
      <c r="E20" s="238">
        <v>50400</v>
      </c>
      <c r="F20" s="243">
        <f>D20-E20</f>
        <v>8469600</v>
      </c>
      <c r="G20" s="22">
        <v>8484000</v>
      </c>
      <c r="H20" s="22">
        <f>(MIN(F20,G20))/1000</f>
        <v>8469.6</v>
      </c>
      <c r="I20" s="35">
        <v>0.93679999999999997</v>
      </c>
      <c r="J20" s="36">
        <f>H20*I20</f>
        <v>7934.3212800000001</v>
      </c>
      <c r="K20" s="244"/>
    </row>
    <row r="21" spans="2:17" x14ac:dyDescent="0.25">
      <c r="B21" s="239">
        <v>44949</v>
      </c>
      <c r="C21" s="240">
        <v>44981</v>
      </c>
      <c r="D21" s="154">
        <v>11163800</v>
      </c>
      <c r="E21" s="3">
        <v>49400</v>
      </c>
      <c r="F21" s="243">
        <f t="shared" ref="F21:F26" si="4">D21-E21</f>
        <v>11114400</v>
      </c>
      <c r="G21" s="21">
        <v>11125400</v>
      </c>
      <c r="H21" s="22">
        <f t="shared" ref="H21:H26" si="5">(MIN(F21,G21))/1000</f>
        <v>11114.4</v>
      </c>
      <c r="I21" s="31">
        <v>0.93679999999999997</v>
      </c>
      <c r="J21" s="32">
        <f t="shared" ref="J21:J26" si="6">H21*I21</f>
        <v>10411.96992</v>
      </c>
      <c r="K21" s="244"/>
    </row>
    <row r="22" spans="2:17" x14ac:dyDescent="0.25">
      <c r="B22" s="239">
        <v>44981</v>
      </c>
      <c r="C22" s="240">
        <v>45008</v>
      </c>
      <c r="D22" s="154">
        <v>8656000</v>
      </c>
      <c r="E22" s="3">
        <v>38600</v>
      </c>
      <c r="F22" s="243">
        <f t="shared" si="4"/>
        <v>8617400</v>
      </c>
      <c r="G22" s="21">
        <v>8623600</v>
      </c>
      <c r="H22" s="22">
        <f t="shared" si="5"/>
        <v>8617.4</v>
      </c>
      <c r="I22" s="31">
        <v>0.93679999999999997</v>
      </c>
      <c r="J22" s="32">
        <f t="shared" si="6"/>
        <v>8072.7803199999989</v>
      </c>
      <c r="K22" s="244"/>
    </row>
    <row r="23" spans="2:17" x14ac:dyDescent="0.25">
      <c r="B23" s="236">
        <v>45008</v>
      </c>
      <c r="C23" s="237">
        <v>45016</v>
      </c>
      <c r="D23" s="154">
        <v>2809800</v>
      </c>
      <c r="E23" s="3">
        <v>12200</v>
      </c>
      <c r="F23" s="243">
        <f t="shared" si="4"/>
        <v>2797600</v>
      </c>
      <c r="G23" s="21">
        <v>2800200</v>
      </c>
      <c r="H23" s="22">
        <f t="shared" si="5"/>
        <v>2797.6</v>
      </c>
      <c r="I23" s="31">
        <v>0.93679999999999997</v>
      </c>
      <c r="J23" s="32">
        <f t="shared" si="6"/>
        <v>2620.7916799999998</v>
      </c>
      <c r="K23" s="244"/>
    </row>
    <row r="24" spans="2:17" x14ac:dyDescent="0.25">
      <c r="B24" s="239">
        <v>45016</v>
      </c>
      <c r="C24" s="240">
        <v>45047</v>
      </c>
      <c r="D24" s="154">
        <v>9129400</v>
      </c>
      <c r="E24" s="3">
        <v>43800</v>
      </c>
      <c r="F24" s="243">
        <f t="shared" si="4"/>
        <v>9085600</v>
      </c>
      <c r="G24" s="21">
        <v>9092200</v>
      </c>
      <c r="H24" s="22">
        <f t="shared" si="5"/>
        <v>9085.6</v>
      </c>
      <c r="I24" s="31">
        <v>0.93679999999999997</v>
      </c>
      <c r="J24" s="32">
        <f t="shared" si="6"/>
        <v>8511.3900799999992</v>
      </c>
      <c r="K24" s="244"/>
    </row>
    <row r="25" spans="2:17" x14ac:dyDescent="0.25">
      <c r="B25" s="239">
        <v>45047</v>
      </c>
      <c r="C25" s="240">
        <v>45078</v>
      </c>
      <c r="D25" s="186">
        <v>9588600</v>
      </c>
      <c r="E25" s="238">
        <v>41600</v>
      </c>
      <c r="F25" s="243">
        <f t="shared" si="4"/>
        <v>9547000</v>
      </c>
      <c r="G25" s="33">
        <v>9551400</v>
      </c>
      <c r="H25" s="22">
        <f t="shared" si="5"/>
        <v>9547</v>
      </c>
      <c r="I25" s="41">
        <v>0.93679999999999997</v>
      </c>
      <c r="J25" s="42">
        <f t="shared" si="6"/>
        <v>8943.6296000000002</v>
      </c>
      <c r="K25" s="244"/>
    </row>
    <row r="26" spans="2:17" ht="15.75" thickBot="1" x14ac:dyDescent="0.3">
      <c r="B26" s="39">
        <v>45078</v>
      </c>
      <c r="C26" s="52">
        <v>45107</v>
      </c>
      <c r="D26" s="254">
        <f>D35</f>
        <v>8506280</v>
      </c>
      <c r="E26" s="197">
        <f>E35</f>
        <v>38860</v>
      </c>
      <c r="F26" s="190">
        <f t="shared" si="4"/>
        <v>8467420</v>
      </c>
      <c r="G26" s="33">
        <v>8763600</v>
      </c>
      <c r="H26" s="22">
        <f t="shared" si="5"/>
        <v>8467.42</v>
      </c>
      <c r="I26" s="41">
        <v>0.93679999999999997</v>
      </c>
      <c r="J26" s="42">
        <f t="shared" si="6"/>
        <v>7932.2790559999994</v>
      </c>
      <c r="K26" s="244"/>
    </row>
    <row r="27" spans="2:17" ht="15.75" thickBot="1" x14ac:dyDescent="0.3">
      <c r="B27" s="330" t="s">
        <v>71</v>
      </c>
      <c r="C27" s="331"/>
      <c r="D27" s="48">
        <f>SUM(D20:D26)</f>
        <v>58373880</v>
      </c>
      <c r="E27" s="49">
        <f>SUM(E20:E26)</f>
        <v>274860</v>
      </c>
      <c r="F27" s="50">
        <f>SUM(F20:F25)</f>
        <v>49631600</v>
      </c>
      <c r="G27" s="62">
        <f>SUM(G20:G25)</f>
        <v>49676800</v>
      </c>
      <c r="H27" s="62">
        <f>SUM(H20:H25)</f>
        <v>49631.6</v>
      </c>
      <c r="I27" s="54">
        <v>0.93679999999999997</v>
      </c>
      <c r="J27" s="55">
        <f>ROUNDDOWN(H27*I27,0)</f>
        <v>46494</v>
      </c>
    </row>
    <row r="28" spans="2:17" ht="15.75" thickBot="1" x14ac:dyDescent="0.3">
      <c r="B28" s="345" t="s">
        <v>3</v>
      </c>
      <c r="C28" s="346"/>
      <c r="D28" s="76">
        <f>D27+D19</f>
        <v>117186568</v>
      </c>
      <c r="E28" s="77">
        <f>E19+E27</f>
        <v>660924</v>
      </c>
      <c r="F28" s="78">
        <f>F27+F19</f>
        <v>108058224</v>
      </c>
      <c r="G28" s="58">
        <f>G27+G19</f>
        <v>110579200</v>
      </c>
      <c r="H28" s="58">
        <f>SUM(H19+H27)</f>
        <v>108058.224</v>
      </c>
      <c r="I28" s="59">
        <v>0.93679999999999997</v>
      </c>
      <c r="J28" s="60">
        <f>ROUNDDOWN(SUM(J19+J27),0)</f>
        <v>101228</v>
      </c>
      <c r="L28" s="306">
        <v>45078</v>
      </c>
      <c r="M28" s="307"/>
      <c r="N28" s="307"/>
      <c r="O28" s="307"/>
      <c r="P28" s="308"/>
    </row>
    <row r="29" spans="2:17" x14ac:dyDescent="0.25">
      <c r="B29" s="191"/>
      <c r="C29" s="191"/>
      <c r="D29" s="192"/>
      <c r="E29" s="192"/>
      <c r="F29" s="192"/>
      <c r="G29" s="193"/>
      <c r="H29" s="193"/>
      <c r="I29" s="194"/>
      <c r="J29" s="193"/>
      <c r="L29" s="5"/>
      <c r="M29" s="3"/>
      <c r="N29" s="3"/>
      <c r="O29" s="3" t="s">
        <v>131</v>
      </c>
      <c r="P29" s="3" t="s">
        <v>139</v>
      </c>
    </row>
    <row r="30" spans="2:17" x14ac:dyDescent="0.25">
      <c r="B30" s="198"/>
      <c r="C30" s="198"/>
      <c r="D30" s="24"/>
      <c r="F30" s="24"/>
      <c r="G30" s="162"/>
      <c r="H30" s="162"/>
      <c r="I30" s="199"/>
      <c r="J30" s="162"/>
      <c r="L30" s="5"/>
      <c r="M30" s="3" t="s">
        <v>127</v>
      </c>
      <c r="N30" s="30">
        <v>8799600</v>
      </c>
      <c r="O30" s="96">
        <f>N30/N32</f>
        <v>293320</v>
      </c>
      <c r="P30" s="96">
        <f>O30*N33</f>
        <v>8506280</v>
      </c>
    </row>
    <row r="31" spans="2:17" x14ac:dyDescent="0.25">
      <c r="B31" s="201">
        <v>44651</v>
      </c>
      <c r="C31" s="201">
        <v>44676</v>
      </c>
      <c r="D31" s="211">
        <v>7227800</v>
      </c>
      <c r="E31" s="211">
        <v>33400</v>
      </c>
      <c r="F31" s="24"/>
      <c r="G31" s="162"/>
      <c r="H31" s="162"/>
      <c r="I31" s="199"/>
      <c r="J31" s="162"/>
      <c r="L31" s="5"/>
      <c r="M31" s="3" t="s">
        <v>128</v>
      </c>
      <c r="N31" s="30">
        <v>40200</v>
      </c>
      <c r="O31" s="96">
        <f>N31/N32</f>
        <v>1340</v>
      </c>
      <c r="P31" s="96">
        <f>O31*N33</f>
        <v>38860</v>
      </c>
    </row>
    <row r="32" spans="2:17" x14ac:dyDescent="0.25">
      <c r="B32" s="201">
        <v>44652</v>
      </c>
      <c r="C32" s="201">
        <v>44676</v>
      </c>
      <c r="D32" s="202">
        <f>P13</f>
        <v>6938688</v>
      </c>
      <c r="E32" s="202">
        <f>P14</f>
        <v>32064</v>
      </c>
      <c r="L32" s="5"/>
      <c r="M32" s="253" t="s">
        <v>129</v>
      </c>
      <c r="N32" s="3">
        <f>C34-B34</f>
        <v>30</v>
      </c>
      <c r="O32" s="3"/>
      <c r="P32" s="3"/>
    </row>
    <row r="33" spans="2:16" x14ac:dyDescent="0.25">
      <c r="B33" s="235"/>
      <c r="C33" s="235"/>
      <c r="D33" s="7"/>
      <c r="E33" s="7"/>
      <c r="L33" s="5"/>
      <c r="M33" s="253" t="s">
        <v>130</v>
      </c>
      <c r="N33" s="3">
        <f>C35-B35</f>
        <v>29</v>
      </c>
      <c r="O33" s="3"/>
      <c r="P33" s="3"/>
    </row>
    <row r="34" spans="2:16" x14ac:dyDescent="0.25">
      <c r="B34" s="201">
        <v>45078</v>
      </c>
      <c r="C34" s="201">
        <v>45108</v>
      </c>
      <c r="D34" s="188">
        <v>8799600</v>
      </c>
      <c r="E34" s="189">
        <v>40200</v>
      </c>
    </row>
    <row r="35" spans="2:16" x14ac:dyDescent="0.25">
      <c r="B35" s="201">
        <v>45078</v>
      </c>
      <c r="C35" s="201">
        <v>45107</v>
      </c>
      <c r="D35" s="195">
        <f>P30</f>
        <v>8506280</v>
      </c>
      <c r="E35" s="197">
        <f>P31</f>
        <v>38860</v>
      </c>
    </row>
    <row r="38" spans="2:16" ht="15.75" customHeight="1" x14ac:dyDescent="0.25">
      <c r="B38" s="230"/>
      <c r="C38" s="230"/>
    </row>
    <row r="40" spans="2:16" x14ac:dyDescent="0.25">
      <c r="B40" s="230"/>
      <c r="C40" s="230"/>
    </row>
    <row r="42" spans="2:16" x14ac:dyDescent="0.25">
      <c r="B42" s="230"/>
      <c r="C42" s="230"/>
    </row>
    <row r="45" spans="2:16" ht="89.25" customHeight="1" x14ac:dyDescent="0.25">
      <c r="B45" s="375" t="s">
        <v>143</v>
      </c>
      <c r="C45" s="375"/>
      <c r="D45" s="375"/>
      <c r="E45" s="375"/>
      <c r="F45" s="375"/>
      <c r="G45" s="375"/>
      <c r="H45" s="375"/>
      <c r="I45" s="375"/>
    </row>
  </sheetData>
  <mergeCells count="17">
    <mergeCell ref="L28:P28"/>
    <mergeCell ref="K4:M4"/>
    <mergeCell ref="B8:C8"/>
    <mergeCell ref="D8:F8"/>
    <mergeCell ref="B9:C9"/>
    <mergeCell ref="B19:C19"/>
    <mergeCell ref="B6:C6"/>
    <mergeCell ref="D6:F6"/>
    <mergeCell ref="G6:J7"/>
    <mergeCell ref="B7:C7"/>
    <mergeCell ref="D7:F7"/>
    <mergeCell ref="B45:I45"/>
    <mergeCell ref="B28:C28"/>
    <mergeCell ref="B2:F2"/>
    <mergeCell ref="B3:F3"/>
    <mergeCell ref="B4:F4"/>
    <mergeCell ref="B27:C27"/>
  </mergeCells>
  <pageMargins left="0.7" right="0.7" top="0.75" bottom="0.75" header="0.3" footer="0.3"/>
  <pageSetup paperSize="9"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R51"/>
  <sheetViews>
    <sheetView workbookViewId="0">
      <selection activeCell="M36" sqref="M36"/>
    </sheetView>
  </sheetViews>
  <sheetFormatPr defaultColWidth="9" defaultRowHeight="15" x14ac:dyDescent="0.25"/>
  <cols>
    <col min="1" max="1" width="9" style="1"/>
    <col min="2" max="3" width="10.28515625" style="1" bestFit="1" customWidth="1"/>
    <col min="4" max="4" width="17.7109375" style="1" customWidth="1"/>
    <col min="5" max="5" width="7.42578125" style="1" bestFit="1" customWidth="1"/>
    <col min="6" max="6" width="10.42578125" style="1" bestFit="1" customWidth="1"/>
    <col min="7" max="8" width="14.42578125" style="1" bestFit="1" customWidth="1"/>
    <col min="9" max="10" width="8.85546875" style="1" bestFit="1" customWidth="1"/>
    <col min="11" max="12" width="9" style="1"/>
    <col min="13" max="13" width="20.5703125" style="1" customWidth="1"/>
    <col min="14" max="14" width="31.42578125" style="1" customWidth="1"/>
    <col min="15" max="15" width="10.140625" style="1" customWidth="1"/>
    <col min="16" max="16" width="19" style="1" customWidth="1"/>
    <col min="17" max="16384" width="9" style="1"/>
  </cols>
  <sheetData>
    <row r="1" spans="2:18" ht="15.75" thickBot="1" x14ac:dyDescent="0.3">
      <c r="L1" s="130"/>
    </row>
    <row r="2" spans="2:18" s="24" customFormat="1" x14ac:dyDescent="0.25">
      <c r="B2" s="315" t="s">
        <v>57</v>
      </c>
      <c r="C2" s="316"/>
      <c r="D2" s="316"/>
      <c r="E2" s="316"/>
      <c r="F2" s="317"/>
      <c r="G2" s="27">
        <v>50</v>
      </c>
    </row>
    <row r="3" spans="2:18" s="24" customFormat="1" x14ac:dyDescent="0.25">
      <c r="B3" s="321" t="s">
        <v>58</v>
      </c>
      <c r="C3" s="322"/>
      <c r="D3" s="322"/>
      <c r="E3" s="322"/>
      <c r="F3" s="323"/>
      <c r="G3" s="28">
        <f>H27</f>
        <v>116094.76387096774</v>
      </c>
    </row>
    <row r="4" spans="2:18" s="24" customFormat="1" ht="15.75" thickBot="1" x14ac:dyDescent="0.3">
      <c r="B4" s="318" t="s">
        <v>59</v>
      </c>
      <c r="C4" s="319"/>
      <c r="D4" s="319"/>
      <c r="E4" s="319"/>
      <c r="F4" s="320"/>
      <c r="G4" s="29">
        <f>J27</f>
        <v>108756</v>
      </c>
      <c r="K4" s="282"/>
      <c r="L4" s="282"/>
      <c r="M4" s="282"/>
    </row>
    <row r="5" spans="2:18" ht="15.75" thickBot="1" x14ac:dyDescent="0.3"/>
    <row r="6" spans="2:18" ht="15.75" thickBot="1" x14ac:dyDescent="0.3">
      <c r="B6" s="324" t="s">
        <v>67</v>
      </c>
      <c r="C6" s="325"/>
      <c r="D6" s="324" t="s">
        <v>90</v>
      </c>
      <c r="E6" s="335"/>
      <c r="F6" s="336"/>
      <c r="G6" s="377" t="s">
        <v>92</v>
      </c>
      <c r="H6" s="378"/>
      <c r="I6" s="378"/>
      <c r="J6" s="379"/>
    </row>
    <row r="7" spans="2:18" ht="15.75" thickBot="1" x14ac:dyDescent="0.3">
      <c r="B7" s="326" t="s">
        <v>31</v>
      </c>
      <c r="C7" s="327"/>
      <c r="D7" s="332" t="s">
        <v>46</v>
      </c>
      <c r="E7" s="342"/>
      <c r="F7" s="343"/>
      <c r="G7" s="380"/>
      <c r="H7" s="381"/>
      <c r="I7" s="381"/>
      <c r="J7" s="382"/>
    </row>
    <row r="8" spans="2:18" ht="15.75" thickBot="1" x14ac:dyDescent="0.3">
      <c r="B8" s="328" t="s">
        <v>74</v>
      </c>
      <c r="C8" s="329"/>
      <c r="D8" s="337" t="s">
        <v>91</v>
      </c>
      <c r="E8" s="338"/>
      <c r="F8" s="339"/>
      <c r="G8" s="64"/>
      <c r="H8" s="64"/>
      <c r="I8" s="64"/>
      <c r="J8" s="65"/>
    </row>
    <row r="9" spans="2:18" ht="45.75" thickBot="1" x14ac:dyDescent="0.3">
      <c r="B9" s="326" t="s">
        <v>0</v>
      </c>
      <c r="C9" s="327"/>
      <c r="D9" s="43" t="s">
        <v>65</v>
      </c>
      <c r="E9" s="44" t="s">
        <v>66</v>
      </c>
      <c r="F9" s="61" t="s">
        <v>64</v>
      </c>
      <c r="G9" s="272" t="s">
        <v>68</v>
      </c>
      <c r="H9" s="272" t="s">
        <v>69</v>
      </c>
      <c r="I9" s="44" t="s">
        <v>1</v>
      </c>
      <c r="J9" s="45" t="s">
        <v>2</v>
      </c>
    </row>
    <row r="10" spans="2:18" x14ac:dyDescent="0.25">
      <c r="B10" s="38">
        <v>44652</v>
      </c>
      <c r="C10" s="51">
        <v>44676</v>
      </c>
      <c r="D10" s="195">
        <f>D30</f>
        <v>6686012.9032258065</v>
      </c>
      <c r="E10" s="197">
        <f>E30</f>
        <v>39329.032258064515</v>
      </c>
      <c r="F10" s="190">
        <f>D10-E10</f>
        <v>6646683.8709677421</v>
      </c>
      <c r="G10" s="22">
        <v>8598900</v>
      </c>
      <c r="H10" s="22">
        <f>(MIN(F10,G10))/1000</f>
        <v>6646.6838709677422</v>
      </c>
      <c r="I10" s="35">
        <v>0.93679999999999997</v>
      </c>
      <c r="J10" s="36">
        <f>H10*I10</f>
        <v>6226.6134503225803</v>
      </c>
      <c r="K10" s="244"/>
      <c r="N10" s="24"/>
      <c r="O10" s="24"/>
      <c r="P10" s="24"/>
      <c r="Q10" s="24"/>
      <c r="R10" s="24"/>
    </row>
    <row r="11" spans="2:18" x14ac:dyDescent="0.25">
      <c r="B11" s="39">
        <v>44676</v>
      </c>
      <c r="C11" s="52">
        <v>44706</v>
      </c>
      <c r="D11" s="46">
        <v>8411400</v>
      </c>
      <c r="E11" s="30">
        <v>47900</v>
      </c>
      <c r="F11" s="15">
        <f t="shared" ref="F11:F18" si="0">D11-E11</f>
        <v>8363500</v>
      </c>
      <c r="G11" s="21">
        <v>8375400</v>
      </c>
      <c r="H11" s="22">
        <f t="shared" ref="H11:H18" si="1">(MIN(F11,G11))/1000</f>
        <v>8363.5</v>
      </c>
      <c r="I11" s="34">
        <v>0.93679999999999997</v>
      </c>
      <c r="J11" s="32">
        <f t="shared" ref="J11:J18" si="2">H11*I11</f>
        <v>7834.9267999999993</v>
      </c>
      <c r="K11" s="244"/>
      <c r="N11" s="3"/>
      <c r="O11" s="3"/>
      <c r="P11" s="3"/>
      <c r="Q11" s="3"/>
      <c r="R11" s="3"/>
    </row>
    <row r="12" spans="2:18" ht="30" x14ac:dyDescent="0.25">
      <c r="B12" s="38">
        <v>44706</v>
      </c>
      <c r="C12" s="51">
        <v>44737</v>
      </c>
      <c r="D12" s="46">
        <v>8584700</v>
      </c>
      <c r="E12" s="30">
        <v>48700</v>
      </c>
      <c r="F12" s="15">
        <f t="shared" si="0"/>
        <v>8536000</v>
      </c>
      <c r="G12" s="21">
        <v>8547500</v>
      </c>
      <c r="H12" s="22">
        <f t="shared" si="1"/>
        <v>8536</v>
      </c>
      <c r="I12" s="31">
        <v>0.93679999999999997</v>
      </c>
      <c r="J12" s="32">
        <f t="shared" si="2"/>
        <v>7996.5248000000001</v>
      </c>
      <c r="K12" s="244"/>
      <c r="N12" s="3"/>
      <c r="O12" s="3"/>
      <c r="P12" s="3" t="s">
        <v>131</v>
      </c>
      <c r="Q12" s="253" t="s">
        <v>132</v>
      </c>
      <c r="R12" s="3"/>
    </row>
    <row r="13" spans="2:18" x14ac:dyDescent="0.25">
      <c r="B13" s="39">
        <v>44737</v>
      </c>
      <c r="C13" s="52">
        <v>44767</v>
      </c>
      <c r="D13" s="46">
        <v>5636800</v>
      </c>
      <c r="E13" s="30">
        <v>48400</v>
      </c>
      <c r="F13" s="15">
        <f t="shared" si="0"/>
        <v>5588400</v>
      </c>
      <c r="G13" s="21">
        <v>5600800</v>
      </c>
      <c r="H13" s="22">
        <f t="shared" si="1"/>
        <v>5588.4</v>
      </c>
      <c r="I13" s="31">
        <v>0.93679999999999997</v>
      </c>
      <c r="J13" s="32">
        <f t="shared" si="2"/>
        <v>5235.2131199999994</v>
      </c>
      <c r="K13" s="244"/>
      <c r="N13" s="3" t="s">
        <v>127</v>
      </c>
      <c r="O13" s="30">
        <v>8636100</v>
      </c>
      <c r="P13" s="96">
        <f>O13/O15</f>
        <v>278583.87096774194</v>
      </c>
      <c r="Q13" s="3">
        <f>P13*O16</f>
        <v>6686012.9032258065</v>
      </c>
      <c r="R13" s="3"/>
    </row>
    <row r="14" spans="2:18" x14ac:dyDescent="0.25">
      <c r="B14" s="38">
        <v>44767</v>
      </c>
      <c r="C14" s="51">
        <v>44798</v>
      </c>
      <c r="D14" s="46">
        <v>7386400</v>
      </c>
      <c r="E14" s="30">
        <v>50100</v>
      </c>
      <c r="F14" s="15">
        <f t="shared" si="0"/>
        <v>7336300</v>
      </c>
      <c r="G14" s="21">
        <v>7349200</v>
      </c>
      <c r="H14" s="22">
        <f t="shared" si="1"/>
        <v>7336.3</v>
      </c>
      <c r="I14" s="34">
        <v>0.93679999999999997</v>
      </c>
      <c r="J14" s="32">
        <f t="shared" si="2"/>
        <v>6872.6458400000001</v>
      </c>
      <c r="K14" s="244"/>
      <c r="N14" s="3" t="s">
        <v>128</v>
      </c>
      <c r="O14" s="30">
        <v>50800</v>
      </c>
      <c r="P14" s="96">
        <f>O14/O15</f>
        <v>1638.7096774193549</v>
      </c>
      <c r="Q14" s="96">
        <f>P14*O16</f>
        <v>39329.032258064515</v>
      </c>
      <c r="R14" s="3"/>
    </row>
    <row r="15" spans="2:18" x14ac:dyDescent="0.25">
      <c r="B15" s="39">
        <v>44798</v>
      </c>
      <c r="C15" s="52">
        <v>44829</v>
      </c>
      <c r="D15" s="46">
        <v>6678700</v>
      </c>
      <c r="E15" s="14">
        <v>51700</v>
      </c>
      <c r="F15" s="15">
        <f t="shared" si="0"/>
        <v>6627000</v>
      </c>
      <c r="G15" s="21">
        <v>6641500</v>
      </c>
      <c r="H15" s="22">
        <f t="shared" si="1"/>
        <v>6627</v>
      </c>
      <c r="I15" s="31">
        <v>0.93679999999999997</v>
      </c>
      <c r="J15" s="32">
        <f t="shared" si="2"/>
        <v>6208.1736000000001</v>
      </c>
      <c r="K15" s="244"/>
      <c r="N15" s="3" t="s">
        <v>129</v>
      </c>
      <c r="O15" s="3">
        <f>C29-B29</f>
        <v>31</v>
      </c>
      <c r="P15" s="3"/>
      <c r="Q15" s="3"/>
      <c r="R15" s="3"/>
    </row>
    <row r="16" spans="2:18" x14ac:dyDescent="0.25">
      <c r="B16" s="38">
        <v>44829</v>
      </c>
      <c r="C16" s="51">
        <v>44859</v>
      </c>
      <c r="D16" s="46">
        <v>5767800</v>
      </c>
      <c r="E16" s="30">
        <v>52400</v>
      </c>
      <c r="F16" s="15">
        <f t="shared" si="0"/>
        <v>5715400</v>
      </c>
      <c r="G16" s="21">
        <v>5731800</v>
      </c>
      <c r="H16" s="22">
        <f t="shared" si="1"/>
        <v>5715.4</v>
      </c>
      <c r="I16" s="31">
        <v>0.93679999999999997</v>
      </c>
      <c r="J16" s="32">
        <f t="shared" si="2"/>
        <v>5354.1867199999997</v>
      </c>
      <c r="K16" s="244"/>
      <c r="N16" s="3" t="s">
        <v>130</v>
      </c>
      <c r="O16" s="3">
        <f>C30-B30</f>
        <v>24</v>
      </c>
      <c r="P16" s="3"/>
      <c r="Q16" s="3"/>
      <c r="R16" s="3"/>
    </row>
    <row r="17" spans="2:18" x14ac:dyDescent="0.25">
      <c r="B17" s="39">
        <v>44859</v>
      </c>
      <c r="C17" s="52">
        <v>44890</v>
      </c>
      <c r="D17" s="46">
        <v>7055000</v>
      </c>
      <c r="E17" s="30">
        <v>54300</v>
      </c>
      <c r="F17" s="15">
        <f t="shared" si="0"/>
        <v>7000700</v>
      </c>
      <c r="G17" s="21">
        <v>7017800</v>
      </c>
      <c r="H17" s="22">
        <f t="shared" si="1"/>
        <v>7000.7</v>
      </c>
      <c r="I17" s="34">
        <v>0.93679999999999997</v>
      </c>
      <c r="J17" s="32">
        <f t="shared" si="2"/>
        <v>6558.25576</v>
      </c>
      <c r="K17" s="244"/>
      <c r="N17" s="3"/>
      <c r="O17" s="3"/>
      <c r="P17" s="3"/>
      <c r="Q17" s="3"/>
      <c r="R17" s="3"/>
    </row>
    <row r="18" spans="2:18" ht="15.75" thickBot="1" x14ac:dyDescent="0.3">
      <c r="B18" s="38">
        <v>44890</v>
      </c>
      <c r="C18" s="51">
        <v>44920</v>
      </c>
      <c r="D18" s="47">
        <v>6386600</v>
      </c>
      <c r="E18" s="30">
        <v>53300</v>
      </c>
      <c r="F18" s="15">
        <f t="shared" si="0"/>
        <v>6333300</v>
      </c>
      <c r="G18" s="33">
        <v>6350600</v>
      </c>
      <c r="H18" s="22">
        <f t="shared" si="1"/>
        <v>6333.3</v>
      </c>
      <c r="I18" s="41">
        <v>0.93679999999999997</v>
      </c>
      <c r="J18" s="42">
        <f t="shared" si="2"/>
        <v>5933.0354399999997</v>
      </c>
      <c r="K18" s="244"/>
      <c r="N18" s="24"/>
      <c r="O18" s="24"/>
      <c r="P18" s="24"/>
      <c r="Q18" s="24"/>
      <c r="R18" s="24"/>
    </row>
    <row r="19" spans="2:18" ht="15.75" thickBot="1" x14ac:dyDescent="0.3">
      <c r="B19" s="330" t="s">
        <v>70</v>
      </c>
      <c r="C19" s="331"/>
      <c r="D19" s="48">
        <f>SUM(D10:D18)</f>
        <v>62593412.903225809</v>
      </c>
      <c r="E19" s="49">
        <f t="shared" ref="E19:H19" si="3">SUM(E10:E18)</f>
        <v>446129.03225806449</v>
      </c>
      <c r="F19" s="50">
        <f t="shared" si="3"/>
        <v>62147283.870967746</v>
      </c>
      <c r="G19" s="49">
        <f t="shared" si="3"/>
        <v>64213500</v>
      </c>
      <c r="H19" s="49">
        <f t="shared" si="3"/>
        <v>62147.283870967745</v>
      </c>
      <c r="I19" s="54">
        <v>0.93679999999999997</v>
      </c>
      <c r="J19" s="55">
        <f>ROUNDDOWN(H19*I19,0)</f>
        <v>58219</v>
      </c>
    </row>
    <row r="20" spans="2:18" x14ac:dyDescent="0.25">
      <c r="B20" s="38">
        <v>45285</v>
      </c>
      <c r="C20" s="51">
        <v>44951</v>
      </c>
      <c r="D20" s="37">
        <v>8362100</v>
      </c>
      <c r="E20" s="14">
        <v>55000</v>
      </c>
      <c r="F20" s="15">
        <f>D20-E20</f>
        <v>8307100</v>
      </c>
      <c r="G20" s="22">
        <v>8324900</v>
      </c>
      <c r="H20" s="22">
        <f>(MIN(F20,G20))/1000</f>
        <v>8307.1</v>
      </c>
      <c r="I20" s="35">
        <v>0.93679999999999997</v>
      </c>
      <c r="J20" s="36">
        <f>H20*I20</f>
        <v>7782.0912799999996</v>
      </c>
      <c r="K20" s="244"/>
    </row>
    <row r="21" spans="2:18" x14ac:dyDescent="0.25">
      <c r="B21" s="39">
        <v>44951</v>
      </c>
      <c r="C21" s="52">
        <v>44982</v>
      </c>
      <c r="D21" s="46">
        <v>9724400</v>
      </c>
      <c r="E21" s="30">
        <v>52800</v>
      </c>
      <c r="F21" s="15">
        <f t="shared" ref="F21:F25" si="4">D21-E21</f>
        <v>9671600</v>
      </c>
      <c r="G21" s="21">
        <v>9687200</v>
      </c>
      <c r="H21" s="22">
        <f t="shared" ref="H21:H25" si="5">(MIN(F21,G21))/1000</f>
        <v>9671.6</v>
      </c>
      <c r="I21" s="31">
        <v>0.93679999999999997</v>
      </c>
      <c r="J21" s="32">
        <f t="shared" ref="J21:J25" si="6">H21*I21</f>
        <v>9060.3548800000008</v>
      </c>
      <c r="K21" s="244"/>
    </row>
    <row r="22" spans="2:18" x14ac:dyDescent="0.25">
      <c r="B22" s="38">
        <v>44617</v>
      </c>
      <c r="C22" s="51">
        <v>45010</v>
      </c>
      <c r="D22" s="46">
        <v>8358100</v>
      </c>
      <c r="E22" s="30">
        <v>62300</v>
      </c>
      <c r="F22" s="15">
        <f t="shared" si="4"/>
        <v>8295800</v>
      </c>
      <c r="G22" s="21">
        <v>8308400</v>
      </c>
      <c r="H22" s="22">
        <f t="shared" si="5"/>
        <v>8295.7999999999993</v>
      </c>
      <c r="I22" s="31">
        <v>0.93679999999999997</v>
      </c>
      <c r="J22" s="32">
        <f t="shared" si="6"/>
        <v>7771.505439999999</v>
      </c>
      <c r="K22" s="244"/>
    </row>
    <row r="23" spans="2:18" x14ac:dyDescent="0.25">
      <c r="B23" s="38">
        <v>45010</v>
      </c>
      <c r="C23" s="51">
        <v>45047</v>
      </c>
      <c r="D23" s="46">
        <v>10953400</v>
      </c>
      <c r="E23" s="30">
        <v>5700</v>
      </c>
      <c r="F23" s="15">
        <f t="shared" si="4"/>
        <v>10947700</v>
      </c>
      <c r="G23" s="21">
        <v>10909000</v>
      </c>
      <c r="H23" s="22">
        <f t="shared" si="5"/>
        <v>10909</v>
      </c>
      <c r="I23" s="31">
        <v>0.93679999999999997</v>
      </c>
      <c r="J23" s="32">
        <f t="shared" si="6"/>
        <v>10219.5512</v>
      </c>
      <c r="K23" s="244"/>
    </row>
    <row r="24" spans="2:18" x14ac:dyDescent="0.25">
      <c r="B24" s="39">
        <v>45047</v>
      </c>
      <c r="C24" s="52">
        <v>45078</v>
      </c>
      <c r="D24" s="46">
        <v>8728100</v>
      </c>
      <c r="E24" s="30">
        <v>47000</v>
      </c>
      <c r="F24" s="15">
        <f t="shared" si="4"/>
        <v>8681100</v>
      </c>
      <c r="G24" s="33">
        <v>8690900</v>
      </c>
      <c r="H24" s="22">
        <f t="shared" si="5"/>
        <v>8681.1</v>
      </c>
      <c r="I24" s="31">
        <v>0.93679999999999997</v>
      </c>
      <c r="J24" s="32">
        <f t="shared" si="6"/>
        <v>8132.4544800000003</v>
      </c>
      <c r="K24" s="244"/>
    </row>
    <row r="25" spans="2:18" ht="15.75" thickBot="1" x14ac:dyDescent="0.3">
      <c r="B25" s="38">
        <v>45078</v>
      </c>
      <c r="C25" s="51">
        <v>45107</v>
      </c>
      <c r="D25" s="258">
        <f>I30</f>
        <v>8127733.333333334</v>
      </c>
      <c r="E25" s="202">
        <f>J30</f>
        <v>44853.333333333336</v>
      </c>
      <c r="F25" s="190">
        <f t="shared" si="4"/>
        <v>8082880.0000000009</v>
      </c>
      <c r="G25" s="33">
        <v>8372000</v>
      </c>
      <c r="H25" s="22">
        <f t="shared" si="5"/>
        <v>8082.880000000001</v>
      </c>
      <c r="I25" s="41">
        <v>0.93679999999999997</v>
      </c>
      <c r="J25" s="42">
        <f t="shared" si="6"/>
        <v>7572.0419840000004</v>
      </c>
      <c r="K25" s="244"/>
    </row>
    <row r="26" spans="2:18" ht="15.75" thickBot="1" x14ac:dyDescent="0.3">
      <c r="B26" s="330" t="s">
        <v>71</v>
      </c>
      <c r="C26" s="331"/>
      <c r="D26" s="48">
        <f>SUM(D20:D25)</f>
        <v>54253833.333333336</v>
      </c>
      <c r="E26" s="49">
        <f>SUM(E20:E25)</f>
        <v>267653.33333333331</v>
      </c>
      <c r="F26" s="50">
        <f>SUM(F20:F25)</f>
        <v>53986180</v>
      </c>
      <c r="G26" s="62">
        <f>SUM(G20:G25)</f>
        <v>54292400</v>
      </c>
      <c r="H26" s="62">
        <f>SUM(H20:H25)</f>
        <v>53947.479999999996</v>
      </c>
      <c r="I26" s="54">
        <v>0.93679999999999997</v>
      </c>
      <c r="J26" s="55">
        <f>ROUNDDOWN(H26*I26,0)</f>
        <v>50537</v>
      </c>
    </row>
    <row r="27" spans="2:18" ht="15.75" thickBot="1" x14ac:dyDescent="0.3">
      <c r="B27" s="345" t="s">
        <v>3</v>
      </c>
      <c r="C27" s="346"/>
      <c r="D27" s="76">
        <f>D26+D19</f>
        <v>116847246.23655915</v>
      </c>
      <c r="E27" s="77">
        <f>E19+E26</f>
        <v>713782.36559139774</v>
      </c>
      <c r="F27" s="78">
        <f>F26+F19</f>
        <v>116133463.87096775</v>
      </c>
      <c r="G27" s="58">
        <f>G26+G19</f>
        <v>118505900</v>
      </c>
      <c r="H27" s="58">
        <f>SUM(H19+H26)</f>
        <v>116094.76387096774</v>
      </c>
      <c r="I27" s="59">
        <v>0.93679999999999997</v>
      </c>
      <c r="J27" s="60">
        <f>ROUNDDOWN(SUM(J19+J26),0)</f>
        <v>108756</v>
      </c>
      <c r="L27" s="306">
        <v>45078</v>
      </c>
      <c r="M27" s="307"/>
      <c r="N27" s="307"/>
      <c r="O27" s="307"/>
      <c r="P27" s="308"/>
    </row>
    <row r="28" spans="2:18" x14ac:dyDescent="0.25">
      <c r="L28" s="5"/>
      <c r="M28" s="3"/>
      <c r="N28" s="3"/>
      <c r="O28" s="3" t="s">
        <v>131</v>
      </c>
      <c r="P28" s="3" t="s">
        <v>139</v>
      </c>
    </row>
    <row r="29" spans="2:18" x14ac:dyDescent="0.25">
      <c r="B29" s="269">
        <v>44645</v>
      </c>
      <c r="C29" s="269">
        <v>44676</v>
      </c>
      <c r="D29" s="188">
        <v>8636100</v>
      </c>
      <c r="E29" s="189">
        <v>50800</v>
      </c>
      <c r="G29" s="201">
        <v>45078</v>
      </c>
      <c r="H29" s="201">
        <v>45108</v>
      </c>
      <c r="I29" s="188">
        <v>8408000</v>
      </c>
      <c r="J29" s="189">
        <v>46400</v>
      </c>
      <c r="L29" s="5"/>
      <c r="M29" s="3" t="s">
        <v>127</v>
      </c>
      <c r="N29" s="30">
        <v>8408000</v>
      </c>
      <c r="O29" s="96">
        <f>N29/N31</f>
        <v>280266.66666666669</v>
      </c>
      <c r="P29" s="96">
        <f>O29*N32</f>
        <v>8127733.333333334</v>
      </c>
    </row>
    <row r="30" spans="2:18" x14ac:dyDescent="0.25">
      <c r="B30" s="201">
        <v>44652</v>
      </c>
      <c r="C30" s="201">
        <v>44676</v>
      </c>
      <c r="D30" s="202">
        <f>Q13</f>
        <v>6686012.9032258065</v>
      </c>
      <c r="E30" s="202">
        <f>Q14</f>
        <v>39329.032258064515</v>
      </c>
      <c r="G30" s="201">
        <v>45078</v>
      </c>
      <c r="H30" s="201">
        <v>45107</v>
      </c>
      <c r="I30" s="195">
        <f>P29</f>
        <v>8127733.333333334</v>
      </c>
      <c r="J30" s="197">
        <f>P30</f>
        <v>44853.333333333336</v>
      </c>
      <c r="L30" s="5"/>
      <c r="M30" s="3" t="s">
        <v>128</v>
      </c>
      <c r="N30" s="30">
        <v>46400</v>
      </c>
      <c r="O30" s="96">
        <f>N30/N31</f>
        <v>1546.6666666666667</v>
      </c>
      <c r="P30" s="96">
        <f>O30*N32</f>
        <v>44853.333333333336</v>
      </c>
    </row>
    <row r="31" spans="2:18" x14ac:dyDescent="0.25">
      <c r="L31" s="5"/>
      <c r="M31" s="3" t="s">
        <v>129</v>
      </c>
      <c r="N31" s="3">
        <f>H29-G29</f>
        <v>30</v>
      </c>
      <c r="O31" s="3"/>
      <c r="P31" s="3"/>
    </row>
    <row r="32" spans="2:18" x14ac:dyDescent="0.25">
      <c r="B32" s="230"/>
      <c r="C32" s="230"/>
      <c r="L32" s="5"/>
      <c r="M32" s="3" t="s">
        <v>130</v>
      </c>
      <c r="N32" s="3">
        <f>H30-G30</f>
        <v>29</v>
      </c>
      <c r="O32" s="3"/>
      <c r="P32" s="3"/>
    </row>
    <row r="33" spans="2:13" x14ac:dyDescent="0.25">
      <c r="B33" s="230"/>
      <c r="C33" s="230"/>
    </row>
    <row r="36" spans="2:13" ht="91.5" customHeight="1" x14ac:dyDescent="0.25">
      <c r="B36" s="375" t="s">
        <v>143</v>
      </c>
      <c r="C36" s="375"/>
      <c r="D36" s="375"/>
      <c r="E36" s="375"/>
      <c r="F36" s="375"/>
      <c r="G36" s="375"/>
      <c r="H36" s="375"/>
      <c r="I36" s="375"/>
    </row>
    <row r="40" spans="2:13" hidden="1" x14ac:dyDescent="0.25"/>
    <row r="41" spans="2:13" hidden="1" x14ac:dyDescent="0.25"/>
    <row r="42" spans="2:13" hidden="1" x14ac:dyDescent="0.25"/>
    <row r="43" spans="2:13" hidden="1" x14ac:dyDescent="0.25">
      <c r="M43" s="1">
        <f>H47</f>
        <v>37200</v>
      </c>
    </row>
    <row r="44" spans="2:13" hidden="1" x14ac:dyDescent="0.25">
      <c r="J44" s="1">
        <f>48600</f>
        <v>48600</v>
      </c>
    </row>
    <row r="45" spans="2:13" hidden="1" x14ac:dyDescent="0.25">
      <c r="G45" s="1" t="s">
        <v>46</v>
      </c>
    </row>
    <row r="46" spans="2:13" hidden="1" x14ac:dyDescent="0.25"/>
    <row r="47" spans="2:13" hidden="1" x14ac:dyDescent="0.25">
      <c r="H47" s="1">
        <f>50*1000*0.1%*31*24</f>
        <v>37200</v>
      </c>
      <c r="K47" s="1">
        <f>J44-H47</f>
        <v>11400</v>
      </c>
    </row>
    <row r="48" spans="2:13" hidden="1" x14ac:dyDescent="0.25"/>
    <row r="49" spans="11:11" hidden="1" x14ac:dyDescent="0.25"/>
    <row r="50" spans="11:11" hidden="1" x14ac:dyDescent="0.25">
      <c r="K50" s="1">
        <f>D12-H47</f>
        <v>8547500</v>
      </c>
    </row>
    <row r="51" spans="11:11" hidden="1" x14ac:dyDescent="0.25"/>
  </sheetData>
  <mergeCells count="17">
    <mergeCell ref="L27:P27"/>
    <mergeCell ref="K4:M4"/>
    <mergeCell ref="B8:C8"/>
    <mergeCell ref="D8:F8"/>
    <mergeCell ref="B9:C9"/>
    <mergeCell ref="B19:C19"/>
    <mergeCell ref="B6:C6"/>
    <mergeCell ref="D6:F6"/>
    <mergeCell ref="G6:J7"/>
    <mergeCell ref="B7:C7"/>
    <mergeCell ref="D7:F7"/>
    <mergeCell ref="B36:I36"/>
    <mergeCell ref="B27:C27"/>
    <mergeCell ref="B2:F2"/>
    <mergeCell ref="B3:F3"/>
    <mergeCell ref="B4:F4"/>
    <mergeCell ref="B26:C2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ba820af-9c36-47fb-8383-9944acc4573c" xsi:nil="true"/>
    <lcf76f155ced4ddcb4097134ff3c332f xmlns="5944c9fc-9421-4c39-b608-61ce3178861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DC1F0F2D97C04690DF7AC407C65BA5" ma:contentTypeVersion="19" ma:contentTypeDescription="Create a new document." ma:contentTypeScope="" ma:versionID="138ac169aaadc9c430b97b25b46ecc4e">
  <xsd:schema xmlns:xsd="http://www.w3.org/2001/XMLSchema" xmlns:xs="http://www.w3.org/2001/XMLSchema" xmlns:p="http://schemas.microsoft.com/office/2006/metadata/properties" xmlns:ns2="5944c9fc-9421-4c39-b608-61ce31788618" xmlns:ns3="3ba820af-9c36-47fb-8383-9944acc4573c" targetNamespace="http://schemas.microsoft.com/office/2006/metadata/properties" ma:root="true" ma:fieldsID="4cce58cbed9668fc3dbbcfb9a7470718" ns2:_="" ns3:_="">
    <xsd:import namespace="5944c9fc-9421-4c39-b608-61ce31788618"/>
    <xsd:import namespace="3ba820af-9c36-47fb-8383-9944acc457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4c9fc-9421-4c39-b608-61ce317886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b97863a-9c53-4d79-aa62-b4edf9878b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a820af-9c36-47fb-8383-9944acc4573c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4e236bb-6ba1-491a-998c-53c379aa7070}" ma:internalName="TaxCatchAll" ma:showField="CatchAllData" ma:web="3ba820af-9c36-47fb-8383-9944acc457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26B8A8-DB80-4A68-87C6-6596A7C5416E}">
  <ds:schemaRefs>
    <ds:schemaRef ds:uri="http://schemas.microsoft.com/office/2006/metadata/properties"/>
    <ds:schemaRef ds:uri="http://schemas.microsoft.com/office/infopath/2007/PartnerControls"/>
    <ds:schemaRef ds:uri="3ba820af-9c36-47fb-8383-9944acc4573c"/>
    <ds:schemaRef ds:uri="5944c9fc-9421-4c39-b608-61ce31788618"/>
  </ds:schemaRefs>
</ds:datastoreItem>
</file>

<file path=customXml/itemProps2.xml><?xml version="1.0" encoding="utf-8"?>
<ds:datastoreItem xmlns:ds="http://schemas.openxmlformats.org/officeDocument/2006/customXml" ds:itemID="{B86B0F0E-F604-42EA-9CD8-B4C7E263C2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8988B1-602A-4605-857C-EF5F100AE5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44c9fc-9421-4c39-b608-61ce31788618"/>
    <ds:schemaRef ds:uri="3ba820af-9c36-47fb-8383-9944acc457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ER Cal-Summary</vt:lpstr>
      <vt:lpstr>Karnataka Site</vt:lpstr>
      <vt:lpstr>Punjab Site</vt:lpstr>
      <vt:lpstr>Mytrah-Abhinav (TL)</vt:lpstr>
      <vt:lpstr>Mytrah-Adarsh (TL)</vt:lpstr>
      <vt:lpstr>Mytrah-Agriya (TL)</vt:lpstr>
      <vt:lpstr>Mytrah-Aakash (TL)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2024-04-25T07:35:16Z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0x010100CDDC1F0F2D97C04690DF7AC407C65BA5</vt:lpwstr>
  </property>
  <property fmtid="{D5CDD505-2E9C-101B-9397-08002B2CF9AE}" pid="3" name="MediaServiceImageTags">
    <vt:lpwstr/>
  </property>
</Properties>
</file>