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https://kmsgroup1-my.sharepoint.com/personal/consulting4_kms-group_com/Documents/Paul-Files/Karnataka_agri/V7_Sent_Auditor_18-08-2025/3115_SALM project_VERRA resubmission_V7_18082025/3_Ex-ante, Ex-post_ER_Sheet/"/>
    </mc:Choice>
  </mc:AlternateContent>
  <xr:revisionPtr revIDLastSave="265" documentId="13_ncr:1_{DF879282-44FF-44D8-931D-43A14E0B237D}" xr6:coauthVersionLast="47" xr6:coauthVersionMax="47" xr10:uidLastSave="{9A133791-F37F-43F6-B8B0-ECA8D263DA66}"/>
  <bookViews>
    <workbookView xWindow="-108" yWindow="-108" windowWidth="23256" windowHeight="12576" firstSheet="2" activeTab="2" xr2:uid="{277CB228-4ADC-4FA2-A956-A7FDD49AE4FB}"/>
  </bookViews>
  <sheets>
    <sheet name="SOC_AGRO-FOREST_CALC" sheetId="3" r:id="rId1"/>
    <sheet name="Ex_ante_ERs" sheetId="1" r:id="rId2"/>
    <sheet name="Ex_post_ERs" sheetId="2" r:id="rId3"/>
    <sheet name="Uncertainty" sheetId="4" r:id="rId4"/>
  </sheets>
  <definedNames>
    <definedName name="fert_b">#REF!</definedName>
    <definedName name="fert_p">#REF!</definedName>
    <definedName name="soc_p">Ex_post_ERs!$E$21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2" l="1"/>
  <c r="K28" i="2"/>
  <c r="J28" i="2"/>
  <c r="Q7" i="2"/>
  <c r="O8" i="2"/>
  <c r="X35" i="1"/>
  <c r="AE35" i="1"/>
  <c r="G6" i="4"/>
  <c r="G16" i="4"/>
  <c r="T6" i="4"/>
  <c r="Y35" i="1"/>
  <c r="Z35" i="1"/>
  <c r="Z5" i="1"/>
  <c r="U4" i="1"/>
  <c r="F5" i="1"/>
  <c r="F4" i="1"/>
  <c r="F6" i="1"/>
  <c r="R4" i="4"/>
  <c r="K4" i="4"/>
  <c r="R5" i="1" l="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4" i="1"/>
  <c r="AD6" i="3"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D4" i="4" l="1"/>
  <c r="T26" i="4" l="1"/>
  <c r="R30" i="4"/>
  <c r="R20" i="4"/>
  <c r="T9" i="4"/>
  <c r="T8" i="4"/>
  <c r="T7" i="4"/>
  <c r="N25" i="4"/>
  <c r="S25" i="4" s="1"/>
  <c r="N24" i="4"/>
  <c r="S24" i="4" s="1"/>
  <c r="N15" i="4"/>
  <c r="S15" i="4" s="1"/>
  <c r="N14" i="4"/>
  <c r="S14" i="4" s="1"/>
  <c r="T25" i="4" l="1"/>
  <c r="T15" i="4"/>
  <c r="T24" i="4"/>
  <c r="T14" i="4"/>
  <c r="G29" i="4" l="1"/>
  <c r="L29" i="4" s="1"/>
  <c r="T29" i="4" s="1"/>
  <c r="G26" i="4"/>
  <c r="L26" i="4" s="1"/>
  <c r="L6" i="4"/>
  <c r="G9" i="4"/>
  <c r="L9" i="4" s="1"/>
  <c r="G28" i="4"/>
  <c r="L28" i="4" s="1"/>
  <c r="T28" i="4" s="1"/>
  <c r="G27" i="4"/>
  <c r="L27" i="4" s="1"/>
  <c r="T27" i="4" s="1"/>
  <c r="L25" i="4"/>
  <c r="L24" i="4"/>
  <c r="G19" i="4"/>
  <c r="L19" i="4" s="1"/>
  <c r="N19" i="4" s="1"/>
  <c r="G18" i="4"/>
  <c r="L18" i="4" s="1"/>
  <c r="N18" i="4" s="1"/>
  <c r="G17" i="4"/>
  <c r="L17" i="4" s="1"/>
  <c r="N17" i="4" s="1"/>
  <c r="L15" i="4"/>
  <c r="L14" i="4"/>
  <c r="K20" i="4"/>
  <c r="G8" i="4"/>
  <c r="L8" i="4" s="1"/>
  <c r="G7" i="4"/>
  <c r="L7" i="4" s="1"/>
  <c r="L5" i="4"/>
  <c r="L4" i="4"/>
  <c r="O4" i="1"/>
  <c r="F9" i="1"/>
  <c r="P7" i="2" l="1"/>
  <c r="S19" i="4"/>
  <c r="T19" i="4" s="1"/>
  <c r="S18" i="4"/>
  <c r="T18" i="4" s="1"/>
  <c r="P6" i="2"/>
  <c r="Q6" i="2" s="1"/>
  <c r="S17" i="4"/>
  <c r="T17" i="4" s="1"/>
  <c r="P5" i="2"/>
  <c r="Q5" i="2" s="1"/>
  <c r="N5" i="4"/>
  <c r="S5" i="4" s="1"/>
  <c r="K10" i="4"/>
  <c r="N30" i="4"/>
  <c r="L16" i="4"/>
  <c r="N16" i="4" s="1"/>
  <c r="K30" i="4"/>
  <c r="P4" i="2" l="1"/>
  <c r="S16" i="4"/>
  <c r="T16" i="4" s="1"/>
  <c r="T20" i="4" s="1"/>
  <c r="T5" i="4"/>
  <c r="S10" i="4"/>
  <c r="R10" i="4"/>
  <c r="T10" i="4"/>
  <c r="N10" i="4"/>
  <c r="T30" i="4"/>
  <c r="S30" i="4"/>
  <c r="N20" i="4"/>
  <c r="Q4" i="2" l="1"/>
  <c r="J25" i="2" s="1"/>
  <c r="P8" i="2"/>
  <c r="S20" i="4"/>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4" i="1"/>
  <c r="Q45" i="3" l="1"/>
  <c r="Q46" i="3"/>
  <c r="Q47" i="3"/>
  <c r="Q48" i="3"/>
  <c r="Q49" i="3"/>
  <c r="Q44" i="3"/>
  <c r="C45" i="3"/>
  <c r="C46" i="3"/>
  <c r="C47" i="3"/>
  <c r="C48" i="3"/>
  <c r="C49" i="3"/>
  <c r="C44" i="3"/>
  <c r="AH50" i="3" l="1"/>
  <c r="AI50" i="3" s="1"/>
  <c r="AJ50" i="3" s="1"/>
  <c r="AK50" i="3" s="1"/>
  <c r="AL50" i="3" s="1"/>
  <c r="AM50" i="3" s="1"/>
  <c r="T50" i="3"/>
  <c r="F50" i="3"/>
  <c r="G50" i="3" s="1"/>
  <c r="H50" i="3" s="1"/>
  <c r="I50" i="3" s="1"/>
  <c r="J50" i="3" s="1"/>
  <c r="K50" i="3" s="1"/>
  <c r="L50" i="3" s="1"/>
  <c r="AI49" i="3"/>
  <c r="AJ49" i="3" s="1"/>
  <c r="AK49" i="3" s="1"/>
  <c r="AL49" i="3" s="1"/>
  <c r="AM49" i="3" s="1"/>
  <c r="U49" i="3"/>
  <c r="V49" i="3" s="1"/>
  <c r="W49" i="3" s="1"/>
  <c r="X49" i="3" s="1"/>
  <c r="Y49" i="3" s="1"/>
  <c r="G49" i="3"/>
  <c r="H49" i="3" s="1"/>
  <c r="I49" i="3" s="1"/>
  <c r="J49" i="3" s="1"/>
  <c r="K49" i="3" s="1"/>
  <c r="AI48" i="3"/>
  <c r="AJ48" i="3" s="1"/>
  <c r="AK48" i="3" s="1"/>
  <c r="AL48" i="3" s="1"/>
  <c r="AM48" i="3" s="1"/>
  <c r="U48" i="3"/>
  <c r="V48" i="3" s="1"/>
  <c r="W48" i="3" s="1"/>
  <c r="X48" i="3" s="1"/>
  <c r="Y48" i="3" s="1"/>
  <c r="G48" i="3"/>
  <c r="H48" i="3" s="1"/>
  <c r="I48" i="3" s="1"/>
  <c r="J48" i="3" s="1"/>
  <c r="K48" i="3" s="1"/>
  <c r="AI47" i="3"/>
  <c r="AJ47" i="3" s="1"/>
  <c r="AK47" i="3" s="1"/>
  <c r="AL47" i="3" s="1"/>
  <c r="AM47" i="3" s="1"/>
  <c r="AN47" i="3" s="1"/>
  <c r="U47" i="3"/>
  <c r="V47" i="3" s="1"/>
  <c r="W47" i="3" s="1"/>
  <c r="X47" i="3" s="1"/>
  <c r="Y47" i="3" s="1"/>
  <c r="G47" i="3"/>
  <c r="H47" i="3" s="1"/>
  <c r="I47" i="3" s="1"/>
  <c r="J47" i="3" s="1"/>
  <c r="K47" i="3" s="1"/>
  <c r="AI46" i="3"/>
  <c r="AJ46" i="3" s="1"/>
  <c r="AK46" i="3" s="1"/>
  <c r="AL46" i="3" s="1"/>
  <c r="AM46" i="3" s="1"/>
  <c r="U46" i="3"/>
  <c r="V46" i="3" s="1"/>
  <c r="W46" i="3" s="1"/>
  <c r="X46" i="3" s="1"/>
  <c r="Y46" i="3" s="1"/>
  <c r="G46" i="3"/>
  <c r="H46" i="3" s="1"/>
  <c r="I46" i="3" s="1"/>
  <c r="J46" i="3" s="1"/>
  <c r="K46" i="3" s="1"/>
  <c r="AH45" i="3"/>
  <c r="AI45" i="3" s="1"/>
  <c r="AJ45" i="3" s="1"/>
  <c r="AK45" i="3" s="1"/>
  <c r="AL45" i="3" s="1"/>
  <c r="AM45" i="3" s="1"/>
  <c r="T45" i="3"/>
  <c r="U45" i="3" s="1"/>
  <c r="V45" i="3" s="1"/>
  <c r="W45" i="3" s="1"/>
  <c r="X45" i="3" s="1"/>
  <c r="Y45" i="3" s="1"/>
  <c r="F45" i="3"/>
  <c r="G45" i="3" s="1"/>
  <c r="H45" i="3" s="1"/>
  <c r="I45" i="3" s="1"/>
  <c r="J45" i="3" s="1"/>
  <c r="K45" i="3" s="1"/>
  <c r="AL44" i="3"/>
  <c r="AM44" i="3" s="1"/>
  <c r="AH44" i="3"/>
  <c r="X44" i="3"/>
  <c r="Y44" i="3" s="1"/>
  <c r="T44" i="3"/>
  <c r="J44" i="3"/>
  <c r="K44" i="3" s="1"/>
  <c r="F51" i="3" l="1"/>
  <c r="F52" i="3" s="1"/>
  <c r="G52" i="3" s="1"/>
  <c r="H52" i="3" s="1"/>
  <c r="I52" i="3" s="1"/>
  <c r="J52" i="3" s="1"/>
  <c r="K52" i="3" s="1"/>
  <c r="L52" i="3" s="1"/>
  <c r="M52" i="3" s="1"/>
  <c r="N52" i="3" s="1"/>
  <c r="AN44" i="3"/>
  <c r="AO44" i="3" s="1"/>
  <c r="AP44" i="3" s="1"/>
  <c r="AO47" i="3"/>
  <c r="AP47" i="3" s="1"/>
  <c r="AH51" i="3"/>
  <c r="AH52" i="3" s="1"/>
  <c r="Z47" i="3"/>
  <c r="AA47" i="3" s="1"/>
  <c r="AB47" i="3" s="1"/>
  <c r="AN50" i="3"/>
  <c r="AO50" i="3" s="1"/>
  <c r="AP50" i="3" s="1"/>
  <c r="L45" i="3"/>
  <c r="M45" i="3" s="1"/>
  <c r="N45" i="3" s="1"/>
  <c r="Z49" i="3"/>
  <c r="AA49" i="3" s="1"/>
  <c r="AB49" i="3" s="1"/>
  <c r="L46" i="3"/>
  <c r="M46" i="3" s="1"/>
  <c r="N46" i="3" s="1"/>
  <c r="M50" i="3"/>
  <c r="N50" i="3" s="1"/>
  <c r="L49" i="3"/>
  <c r="M49" i="3" s="1"/>
  <c r="N49" i="3" s="1"/>
  <c r="AN49" i="3"/>
  <c r="AO49" i="3" s="1"/>
  <c r="AP49" i="3" s="1"/>
  <c r="AN45" i="3"/>
  <c r="AO45" i="3" s="1"/>
  <c r="AP45" i="3" s="1"/>
  <c r="L48" i="3"/>
  <c r="M48" i="3" s="1"/>
  <c r="N48" i="3" s="1"/>
  <c r="Z46" i="3"/>
  <c r="AA46" i="3" s="1"/>
  <c r="AB46" i="3" s="1"/>
  <c r="AN48" i="3"/>
  <c r="AO48" i="3" s="1"/>
  <c r="AP48" i="3" s="1"/>
  <c r="AN46" i="3"/>
  <c r="AO46" i="3" s="1"/>
  <c r="AP46" i="3" s="1"/>
  <c r="L47" i="3"/>
  <c r="M47" i="3" s="1"/>
  <c r="N47" i="3" s="1"/>
  <c r="L44" i="3"/>
  <c r="M44" i="3" s="1"/>
  <c r="N44" i="3" s="1"/>
  <c r="Z45" i="3"/>
  <c r="AA45" i="3" s="1"/>
  <c r="AB45" i="3" s="1"/>
  <c r="Z48" i="3"/>
  <c r="AA48" i="3" s="1"/>
  <c r="AB48" i="3" s="1"/>
  <c r="Z44" i="3"/>
  <c r="AA44" i="3" s="1"/>
  <c r="AB44" i="3" s="1"/>
  <c r="U50" i="3"/>
  <c r="V50" i="3" s="1"/>
  <c r="W50" i="3" s="1"/>
  <c r="X50" i="3" s="1"/>
  <c r="Y50" i="3" s="1"/>
  <c r="T51" i="3"/>
  <c r="W24" i="1"/>
  <c r="W25" i="1"/>
  <c r="W26" i="1"/>
  <c r="W27" i="1"/>
  <c r="W28" i="1"/>
  <c r="W29" i="1"/>
  <c r="W30" i="1"/>
  <c r="W31" i="1"/>
  <c r="W32" i="1"/>
  <c r="W33" i="1"/>
  <c r="W34" i="1"/>
  <c r="S24" i="1"/>
  <c r="S25" i="1"/>
  <c r="S26" i="1"/>
  <c r="S27" i="1"/>
  <c r="S28" i="1"/>
  <c r="S29" i="1"/>
  <c r="S30" i="1"/>
  <c r="S31" i="1"/>
  <c r="S32" i="1"/>
  <c r="S33" i="1"/>
  <c r="S34" i="1"/>
  <c r="S23" i="1"/>
  <c r="Q24" i="1"/>
  <c r="Q25" i="1"/>
  <c r="Q26" i="1"/>
  <c r="Q27" i="1"/>
  <c r="Q28" i="1"/>
  <c r="Q29" i="1"/>
  <c r="Q30" i="1"/>
  <c r="Q31" i="1"/>
  <c r="Q32" i="1"/>
  <c r="Q33" i="1"/>
  <c r="Q34" i="1"/>
  <c r="P24" i="1"/>
  <c r="P25" i="1"/>
  <c r="P26" i="1"/>
  <c r="P27" i="1"/>
  <c r="P28" i="1"/>
  <c r="P29" i="1"/>
  <c r="P30" i="1"/>
  <c r="P31" i="1"/>
  <c r="P32" i="1"/>
  <c r="P33" i="1"/>
  <c r="P34" i="1"/>
  <c r="L24" i="1"/>
  <c r="L25" i="1"/>
  <c r="L26" i="1"/>
  <c r="L27" i="1"/>
  <c r="L28" i="1"/>
  <c r="L29" i="1"/>
  <c r="L30" i="1"/>
  <c r="L31" i="1"/>
  <c r="L32" i="1"/>
  <c r="L33" i="1"/>
  <c r="L34" i="1"/>
  <c r="K24" i="1"/>
  <c r="K25" i="1"/>
  <c r="K26" i="1"/>
  <c r="K27" i="1"/>
  <c r="K28" i="1"/>
  <c r="K29" i="1"/>
  <c r="K30" i="1"/>
  <c r="K31" i="1"/>
  <c r="K32" i="1"/>
  <c r="K33" i="1"/>
  <c r="K34" i="1"/>
  <c r="J24" i="1"/>
  <c r="J25" i="1"/>
  <c r="J26" i="1"/>
  <c r="J27" i="1"/>
  <c r="J28" i="1"/>
  <c r="J29" i="1"/>
  <c r="J30" i="1"/>
  <c r="J31" i="1"/>
  <c r="J32" i="1"/>
  <c r="J33" i="1"/>
  <c r="J34" i="1"/>
  <c r="I24" i="1"/>
  <c r="I25" i="1"/>
  <c r="I26" i="1"/>
  <c r="I27" i="1"/>
  <c r="I28" i="1"/>
  <c r="I29" i="1"/>
  <c r="I30" i="1"/>
  <c r="I31" i="1"/>
  <c r="I32" i="1"/>
  <c r="I33" i="1"/>
  <c r="I34" i="1"/>
  <c r="G24" i="1"/>
  <c r="G25" i="1"/>
  <c r="G26" i="1"/>
  <c r="G27" i="1"/>
  <c r="G28" i="1"/>
  <c r="G29" i="1"/>
  <c r="G30" i="1"/>
  <c r="G31" i="1"/>
  <c r="G32" i="1"/>
  <c r="G33" i="1"/>
  <c r="H24" i="1"/>
  <c r="H25" i="1"/>
  <c r="H26" i="1"/>
  <c r="H27" i="1"/>
  <c r="H28" i="1"/>
  <c r="H29" i="1"/>
  <c r="H30" i="1"/>
  <c r="H31" i="1"/>
  <c r="H32" i="1"/>
  <c r="H33" i="1"/>
  <c r="H34" i="1"/>
  <c r="G23" i="1"/>
  <c r="G34" i="1"/>
  <c r="Z26" i="3"/>
  <c r="AA26" i="3" s="1"/>
  <c r="Z27" i="3"/>
  <c r="AA27" i="3" s="1"/>
  <c r="Z28" i="3"/>
  <c r="AA28" i="3" s="1"/>
  <c r="Z29" i="3"/>
  <c r="AA29" i="3" s="1"/>
  <c r="Z30" i="3"/>
  <c r="Z31" i="3"/>
  <c r="Z32" i="3"/>
  <c r="AA32" i="3" s="1"/>
  <c r="Z33" i="3"/>
  <c r="Z34" i="3"/>
  <c r="Z35" i="3"/>
  <c r="Z36" i="3"/>
  <c r="AA36" i="3" s="1"/>
  <c r="U26" i="3"/>
  <c r="V26" i="3" s="1"/>
  <c r="U27" i="3"/>
  <c r="V27" i="3" s="1"/>
  <c r="U28" i="3"/>
  <c r="V28" i="3" s="1"/>
  <c r="U29" i="3"/>
  <c r="V29" i="3" s="1"/>
  <c r="U30" i="3"/>
  <c r="V30" i="3" s="1"/>
  <c r="U31" i="3"/>
  <c r="V31" i="3" s="1"/>
  <c r="U32" i="3"/>
  <c r="V32" i="3" s="1"/>
  <c r="U33" i="3"/>
  <c r="V33" i="3" s="1"/>
  <c r="U34" i="3"/>
  <c r="U35" i="3"/>
  <c r="V35" i="3" s="1"/>
  <c r="U36" i="3"/>
  <c r="V36" i="3" s="1"/>
  <c r="P26" i="3"/>
  <c r="P27" i="3"/>
  <c r="P28" i="3"/>
  <c r="Q28" i="3" s="1"/>
  <c r="P29" i="3"/>
  <c r="Q29" i="3" s="1"/>
  <c r="P30" i="3"/>
  <c r="P31" i="3"/>
  <c r="P32" i="3"/>
  <c r="Q32" i="3" s="1"/>
  <c r="P33" i="3"/>
  <c r="P34" i="3"/>
  <c r="P35" i="3"/>
  <c r="P36" i="3"/>
  <c r="Q36" i="3" s="1"/>
  <c r="F53" i="3" l="1"/>
  <c r="F54" i="3" s="1"/>
  <c r="G51" i="3"/>
  <c r="H51" i="3" s="1"/>
  <c r="I51" i="3" s="1"/>
  <c r="J51" i="3" s="1"/>
  <c r="K51" i="3" s="1"/>
  <c r="L51" i="3" s="1"/>
  <c r="M51" i="3" s="1"/>
  <c r="N51" i="3" s="1"/>
  <c r="AI51" i="3"/>
  <c r="AJ51" i="3" s="1"/>
  <c r="AK51" i="3" s="1"/>
  <c r="AL51" i="3" s="1"/>
  <c r="AM51" i="3" s="1"/>
  <c r="AN51" i="3" s="1"/>
  <c r="AO51" i="3" s="1"/>
  <c r="AP51" i="3" s="1"/>
  <c r="AI52" i="3"/>
  <c r="AJ52" i="3" s="1"/>
  <c r="AK52" i="3" s="1"/>
  <c r="AL52" i="3" s="1"/>
  <c r="AM52" i="3" s="1"/>
  <c r="AH53" i="3"/>
  <c r="U51" i="3"/>
  <c r="V51" i="3" s="1"/>
  <c r="W51" i="3" s="1"/>
  <c r="X51" i="3" s="1"/>
  <c r="Y51" i="3" s="1"/>
  <c r="T52" i="3"/>
  <c r="Z50" i="3"/>
  <c r="AA50" i="3" s="1"/>
  <c r="AB50" i="3" s="1"/>
  <c r="Q27" i="3"/>
  <c r="O25" i="1" s="1"/>
  <c r="O27" i="1"/>
  <c r="AD26" i="3"/>
  <c r="O34" i="1"/>
  <c r="O26" i="1"/>
  <c r="O30" i="1"/>
  <c r="Q35" i="3"/>
  <c r="AD33" i="3"/>
  <c r="Q34" i="3"/>
  <c r="AA34" i="3"/>
  <c r="AD36" i="3"/>
  <c r="AD35" i="3"/>
  <c r="Q26" i="3"/>
  <c r="O24" i="1" s="1"/>
  <c r="AD34" i="3"/>
  <c r="V34" i="3"/>
  <c r="AA35" i="3"/>
  <c r="AD32" i="3"/>
  <c r="Q33" i="3"/>
  <c r="AA33" i="3"/>
  <c r="AD31" i="3"/>
  <c r="AD30" i="3"/>
  <c r="Q31" i="3"/>
  <c r="AA31" i="3"/>
  <c r="AD29" i="3"/>
  <c r="Q30" i="3"/>
  <c r="AA30" i="3"/>
  <c r="AD28" i="3"/>
  <c r="AD27" i="3"/>
  <c r="G53" i="3" l="1"/>
  <c r="H53" i="3" s="1"/>
  <c r="I53" i="3" s="1"/>
  <c r="J53" i="3" s="1"/>
  <c r="K53" i="3" s="1"/>
  <c r="L53" i="3" s="1"/>
  <c r="M53" i="3" s="1"/>
  <c r="N53" i="3" s="1"/>
  <c r="AI53" i="3"/>
  <c r="AJ53" i="3" s="1"/>
  <c r="AK53" i="3" s="1"/>
  <c r="AL53" i="3" s="1"/>
  <c r="AM53" i="3" s="1"/>
  <c r="AH54" i="3"/>
  <c r="T53" i="3"/>
  <c r="U52" i="3"/>
  <c r="V52" i="3" s="1"/>
  <c r="W52" i="3" s="1"/>
  <c r="X52" i="3" s="1"/>
  <c r="Y52" i="3" s="1"/>
  <c r="AN52" i="3"/>
  <c r="AO52" i="3" s="1"/>
  <c r="AP52" i="3" s="1"/>
  <c r="F55" i="3"/>
  <c r="G54" i="3"/>
  <c r="H54" i="3" s="1"/>
  <c r="I54" i="3" s="1"/>
  <c r="J54" i="3" s="1"/>
  <c r="K54" i="3" s="1"/>
  <c r="Z51" i="3"/>
  <c r="AA51" i="3" s="1"/>
  <c r="AB51" i="3" s="1"/>
  <c r="O31" i="1"/>
  <c r="O29" i="1"/>
  <c r="O33" i="1"/>
  <c r="O28" i="1"/>
  <c r="O32" i="1"/>
  <c r="F56" i="3" l="1"/>
  <c r="G55" i="3"/>
  <c r="H55" i="3" s="1"/>
  <c r="I55" i="3" s="1"/>
  <c r="J55" i="3" s="1"/>
  <c r="K55" i="3" s="1"/>
  <c r="AN53" i="3"/>
  <c r="AO53" i="3" s="1"/>
  <c r="AP53" i="3" s="1"/>
  <c r="Z52" i="3"/>
  <c r="AA52" i="3" s="1"/>
  <c r="AB52" i="3" s="1"/>
  <c r="AH55" i="3"/>
  <c r="AI54" i="3"/>
  <c r="AJ54" i="3" s="1"/>
  <c r="AK54" i="3" s="1"/>
  <c r="AL54" i="3" s="1"/>
  <c r="AM54" i="3" s="1"/>
  <c r="U53" i="3"/>
  <c r="V53" i="3" s="1"/>
  <c r="W53" i="3" s="1"/>
  <c r="X53" i="3" s="1"/>
  <c r="Y53" i="3" s="1"/>
  <c r="T54" i="3"/>
  <c r="L54" i="3"/>
  <c r="M54" i="3" s="1"/>
  <c r="N54" i="3" s="1"/>
  <c r="G17" i="1"/>
  <c r="Z53" i="3" l="1"/>
  <c r="AA53" i="3" s="1"/>
  <c r="AB53" i="3" s="1"/>
  <c r="AN54" i="3"/>
  <c r="AO54" i="3" s="1"/>
  <c r="AP54" i="3" s="1"/>
  <c r="AI55" i="3"/>
  <c r="AJ55" i="3" s="1"/>
  <c r="AK55" i="3" s="1"/>
  <c r="AL55" i="3" s="1"/>
  <c r="AM55" i="3" s="1"/>
  <c r="AH56" i="3"/>
  <c r="L55" i="3"/>
  <c r="M55" i="3" s="1"/>
  <c r="N55" i="3" s="1"/>
  <c r="G56" i="3"/>
  <c r="H56" i="3" s="1"/>
  <c r="I56" i="3" s="1"/>
  <c r="J56" i="3" s="1"/>
  <c r="K56" i="3" s="1"/>
  <c r="F57" i="3"/>
  <c r="T55" i="3"/>
  <c r="U54" i="3"/>
  <c r="V54" i="3" s="1"/>
  <c r="W54" i="3" s="1"/>
  <c r="X54" i="3" s="1"/>
  <c r="Y54" i="3" s="1"/>
  <c r="F7" i="1"/>
  <c r="F8" i="1"/>
  <c r="AH57" i="3" l="1"/>
  <c r="AI56" i="3"/>
  <c r="AJ56" i="3" s="1"/>
  <c r="AK56" i="3" s="1"/>
  <c r="AL56" i="3" s="1"/>
  <c r="AM56" i="3" s="1"/>
  <c r="AN55" i="3"/>
  <c r="AO55" i="3" s="1"/>
  <c r="AP55" i="3" s="1"/>
  <c r="Z54" i="3"/>
  <c r="AA54" i="3" s="1"/>
  <c r="AB54" i="3" s="1"/>
  <c r="T56" i="3"/>
  <c r="U55" i="3"/>
  <c r="V55" i="3" s="1"/>
  <c r="W55" i="3" s="1"/>
  <c r="X55" i="3" s="1"/>
  <c r="Y55" i="3" s="1"/>
  <c r="F58" i="3"/>
  <c r="G57" i="3"/>
  <c r="H57" i="3" s="1"/>
  <c r="I57" i="3" s="1"/>
  <c r="J57" i="3" s="1"/>
  <c r="K57" i="3" s="1"/>
  <c r="L56" i="3"/>
  <c r="M56" i="3" s="1"/>
  <c r="N56" i="3" s="1"/>
  <c r="P6" i="3"/>
  <c r="L57" i="3" l="1"/>
  <c r="M57" i="3" s="1"/>
  <c r="N57" i="3" s="1"/>
  <c r="G58" i="3"/>
  <c r="H58" i="3" s="1"/>
  <c r="I58" i="3" s="1"/>
  <c r="J58" i="3" s="1"/>
  <c r="K58" i="3" s="1"/>
  <c r="F59" i="3"/>
  <c r="Z55" i="3"/>
  <c r="AA55" i="3" s="1"/>
  <c r="AB55" i="3" s="1"/>
  <c r="T57" i="3"/>
  <c r="U56" i="3"/>
  <c r="V56" i="3" s="1"/>
  <c r="W56" i="3" s="1"/>
  <c r="X56" i="3" s="1"/>
  <c r="Y56" i="3" s="1"/>
  <c r="AN56" i="3"/>
  <c r="AO56" i="3" s="1"/>
  <c r="AP56" i="3" s="1"/>
  <c r="AH58" i="3"/>
  <c r="AI57" i="3"/>
  <c r="AJ57" i="3" s="1"/>
  <c r="AK57" i="3" s="1"/>
  <c r="AL57" i="3" s="1"/>
  <c r="AM57" i="3" s="1"/>
  <c r="Z6" i="3"/>
  <c r="U6" i="3"/>
  <c r="P9" i="3"/>
  <c r="P7" i="3"/>
  <c r="G59" i="3" l="1"/>
  <c r="H59" i="3" s="1"/>
  <c r="I59" i="3" s="1"/>
  <c r="J59" i="3" s="1"/>
  <c r="K59" i="3" s="1"/>
  <c r="F60" i="3"/>
  <c r="U57" i="3"/>
  <c r="V57" i="3" s="1"/>
  <c r="W57" i="3" s="1"/>
  <c r="X57" i="3" s="1"/>
  <c r="Y57" i="3" s="1"/>
  <c r="T58" i="3"/>
  <c r="AN57" i="3"/>
  <c r="AO57" i="3" s="1"/>
  <c r="AP57" i="3" s="1"/>
  <c r="AH59" i="3"/>
  <c r="AI58" i="3"/>
  <c r="AJ58" i="3" s="1"/>
  <c r="AK58" i="3" s="1"/>
  <c r="AL58" i="3" s="1"/>
  <c r="AM58" i="3" s="1"/>
  <c r="L58" i="3"/>
  <c r="M58" i="3" s="1"/>
  <c r="N58" i="3" s="1"/>
  <c r="Z56" i="3"/>
  <c r="AA56" i="3" s="1"/>
  <c r="AB56" i="3" s="1"/>
  <c r="Q8" i="2"/>
  <c r="Z57" i="3" l="1"/>
  <c r="AA57" i="3" s="1"/>
  <c r="AB57" i="3" s="1"/>
  <c r="AN58" i="3"/>
  <c r="AO58" i="3" s="1"/>
  <c r="AP58" i="3" s="1"/>
  <c r="L59" i="3"/>
  <c r="M59" i="3" s="1"/>
  <c r="N59" i="3" s="1"/>
  <c r="AI59" i="3"/>
  <c r="AJ59" i="3" s="1"/>
  <c r="AK59" i="3" s="1"/>
  <c r="AL59" i="3" s="1"/>
  <c r="AM59" i="3" s="1"/>
  <c r="AH60" i="3"/>
  <c r="T59" i="3"/>
  <c r="U58" i="3"/>
  <c r="V58" i="3" s="1"/>
  <c r="W58" i="3" s="1"/>
  <c r="X58" i="3" s="1"/>
  <c r="Y58" i="3" s="1"/>
  <c r="F61" i="3"/>
  <c r="G60" i="3"/>
  <c r="H60" i="3" s="1"/>
  <c r="I60" i="3" s="1"/>
  <c r="J60" i="3" s="1"/>
  <c r="K60" i="3" s="1"/>
  <c r="I25" i="3"/>
  <c r="I24" i="3"/>
  <c r="I23" i="3"/>
  <c r="G61" i="3" l="1"/>
  <c r="H61" i="3" s="1"/>
  <c r="I61" i="3" s="1"/>
  <c r="J61" i="3" s="1"/>
  <c r="K61" i="3" s="1"/>
  <c r="F62" i="3"/>
  <c r="AN59" i="3"/>
  <c r="AO59" i="3" s="1"/>
  <c r="AP59" i="3" s="1"/>
  <c r="L60" i="3"/>
  <c r="M60" i="3" s="1"/>
  <c r="N60" i="3" s="1"/>
  <c r="Z58" i="3"/>
  <c r="AA58" i="3" s="1"/>
  <c r="AB58" i="3" s="1"/>
  <c r="AH61" i="3"/>
  <c r="AI60" i="3"/>
  <c r="AJ60" i="3" s="1"/>
  <c r="AK60" i="3" s="1"/>
  <c r="AL60" i="3" s="1"/>
  <c r="AM60" i="3" s="1"/>
  <c r="T60" i="3"/>
  <c r="U59" i="3"/>
  <c r="V59" i="3" s="1"/>
  <c r="W59" i="3" s="1"/>
  <c r="X59" i="3" s="1"/>
  <c r="Y59" i="3" s="1"/>
  <c r="L61" i="3" l="1"/>
  <c r="M61" i="3" s="1"/>
  <c r="N61" i="3" s="1"/>
  <c r="AN60" i="3"/>
  <c r="AO60" i="3" s="1"/>
  <c r="AP60" i="3" s="1"/>
  <c r="AH62" i="3"/>
  <c r="AI61" i="3"/>
  <c r="AJ61" i="3" s="1"/>
  <c r="AK61" i="3" s="1"/>
  <c r="AL61" i="3" s="1"/>
  <c r="AM61" i="3" s="1"/>
  <c r="G62" i="3"/>
  <c r="H62" i="3" s="1"/>
  <c r="I62" i="3" s="1"/>
  <c r="J62" i="3" s="1"/>
  <c r="K62" i="3" s="1"/>
  <c r="F63" i="3"/>
  <c r="U60" i="3"/>
  <c r="V60" i="3" s="1"/>
  <c r="W60" i="3" s="1"/>
  <c r="X60" i="3" s="1"/>
  <c r="Y60" i="3" s="1"/>
  <c r="T61" i="3"/>
  <c r="Z59" i="3"/>
  <c r="AA59" i="3" s="1"/>
  <c r="AB59" i="3" s="1"/>
  <c r="B6" i="1"/>
  <c r="U61" i="3" l="1"/>
  <c r="V61" i="3" s="1"/>
  <c r="W61" i="3" s="1"/>
  <c r="X61" i="3" s="1"/>
  <c r="Y61" i="3" s="1"/>
  <c r="T62" i="3"/>
  <c r="L62" i="3"/>
  <c r="M62" i="3" s="1"/>
  <c r="N62" i="3" s="1"/>
  <c r="Z60" i="3"/>
  <c r="AA60" i="3" s="1"/>
  <c r="AB60" i="3" s="1"/>
  <c r="F64" i="3"/>
  <c r="G63" i="3"/>
  <c r="H63" i="3" s="1"/>
  <c r="I63" i="3" s="1"/>
  <c r="J63" i="3" s="1"/>
  <c r="K63" i="3" s="1"/>
  <c r="AN61" i="3"/>
  <c r="AO61" i="3" s="1"/>
  <c r="AP61" i="3" s="1"/>
  <c r="AH63" i="3"/>
  <c r="AI62" i="3"/>
  <c r="AJ62" i="3" s="1"/>
  <c r="AK62" i="3" s="1"/>
  <c r="AL62" i="3" s="1"/>
  <c r="AM62" i="3" s="1"/>
  <c r="Q6" i="3"/>
  <c r="E23" i="2"/>
  <c r="E13" i="2"/>
  <c r="F65" i="3" l="1"/>
  <c r="G64" i="3"/>
  <c r="H64" i="3" s="1"/>
  <c r="I64" i="3" s="1"/>
  <c r="J64" i="3" s="1"/>
  <c r="K64" i="3" s="1"/>
  <c r="Z61" i="3"/>
  <c r="AA61" i="3" s="1"/>
  <c r="AB61" i="3" s="1"/>
  <c r="T63" i="3"/>
  <c r="U62" i="3"/>
  <c r="V62" i="3" s="1"/>
  <c r="W62" i="3" s="1"/>
  <c r="X62" i="3" s="1"/>
  <c r="Y62" i="3" s="1"/>
  <c r="AN62" i="3"/>
  <c r="AO62" i="3" s="1"/>
  <c r="AP62" i="3" s="1"/>
  <c r="AI63" i="3"/>
  <c r="AJ63" i="3" s="1"/>
  <c r="AK63" i="3" s="1"/>
  <c r="AL63" i="3" s="1"/>
  <c r="AM63" i="3" s="1"/>
  <c r="AH64" i="3"/>
  <c r="L63" i="3"/>
  <c r="M63" i="3" s="1"/>
  <c r="N63" i="3" s="1"/>
  <c r="G4" i="1"/>
  <c r="U63" i="3" l="1"/>
  <c r="V63" i="3" s="1"/>
  <c r="W63" i="3" s="1"/>
  <c r="X63" i="3" s="1"/>
  <c r="Y63" i="3" s="1"/>
  <c r="T64" i="3"/>
  <c r="Z62" i="3"/>
  <c r="AA62" i="3" s="1"/>
  <c r="AB62" i="3" s="1"/>
  <c r="F66" i="3"/>
  <c r="G65" i="3"/>
  <c r="H65" i="3" s="1"/>
  <c r="I65" i="3" s="1"/>
  <c r="J65" i="3" s="1"/>
  <c r="K65" i="3" s="1"/>
  <c r="AH65" i="3"/>
  <c r="AI64" i="3"/>
  <c r="AJ64" i="3" s="1"/>
  <c r="AK64" i="3" s="1"/>
  <c r="AL64" i="3" s="1"/>
  <c r="AM64" i="3" s="1"/>
  <c r="AN63" i="3"/>
  <c r="AO63" i="3" s="1"/>
  <c r="AP63" i="3" s="1"/>
  <c r="L64" i="3"/>
  <c r="M64" i="3" s="1"/>
  <c r="N64" i="3" s="1"/>
  <c r="E14" i="2"/>
  <c r="Z25" i="3"/>
  <c r="U25" i="3"/>
  <c r="P25" i="3"/>
  <c r="G66" i="3" l="1"/>
  <c r="H66" i="3" s="1"/>
  <c r="I66" i="3" s="1"/>
  <c r="J66" i="3" s="1"/>
  <c r="K66" i="3" s="1"/>
  <c r="F67" i="3"/>
  <c r="L65" i="3"/>
  <c r="M65" i="3" s="1"/>
  <c r="N65" i="3" s="1"/>
  <c r="AH66" i="3"/>
  <c r="AI65" i="3"/>
  <c r="AJ65" i="3" s="1"/>
  <c r="AK65" i="3" s="1"/>
  <c r="AL65" i="3" s="1"/>
  <c r="AM65" i="3" s="1"/>
  <c r="U64" i="3"/>
  <c r="V64" i="3" s="1"/>
  <c r="W64" i="3" s="1"/>
  <c r="X64" i="3" s="1"/>
  <c r="Y64" i="3" s="1"/>
  <c r="T65" i="3"/>
  <c r="Z63" i="3"/>
  <c r="AA63" i="3" s="1"/>
  <c r="AB63" i="3" s="1"/>
  <c r="AN64" i="3"/>
  <c r="AO64" i="3" s="1"/>
  <c r="AP64" i="3" s="1"/>
  <c r="Q25" i="3"/>
  <c r="V25" i="3"/>
  <c r="AA25" i="3"/>
  <c r="AD25" i="3"/>
  <c r="V6" i="3"/>
  <c r="AA6" i="3"/>
  <c r="T66" i="3" l="1"/>
  <c r="U65" i="3"/>
  <c r="V65" i="3" s="1"/>
  <c r="W65" i="3" s="1"/>
  <c r="X65" i="3" s="1"/>
  <c r="Y65" i="3" s="1"/>
  <c r="Z64" i="3"/>
  <c r="AA64" i="3" s="1"/>
  <c r="AB64" i="3" s="1"/>
  <c r="AN65" i="3"/>
  <c r="AO65" i="3" s="1"/>
  <c r="AP65" i="3" s="1"/>
  <c r="AI66" i="3"/>
  <c r="AJ66" i="3" s="1"/>
  <c r="AK66" i="3" s="1"/>
  <c r="AL66" i="3" s="1"/>
  <c r="AM66" i="3" s="1"/>
  <c r="AH67" i="3"/>
  <c r="F68" i="3"/>
  <c r="G68" i="3" s="1"/>
  <c r="G67" i="3"/>
  <c r="H67" i="3" s="1"/>
  <c r="I67" i="3" s="1"/>
  <c r="J67" i="3" s="1"/>
  <c r="K67" i="3" s="1"/>
  <c r="L66" i="3"/>
  <c r="M66" i="3" s="1"/>
  <c r="N66" i="3" s="1"/>
  <c r="O23" i="1"/>
  <c r="U7" i="3"/>
  <c r="U8" i="3"/>
  <c r="U9" i="3"/>
  <c r="U10" i="3"/>
  <c r="U11" i="3"/>
  <c r="U12" i="3"/>
  <c r="U13" i="3"/>
  <c r="U14" i="3"/>
  <c r="U15" i="3"/>
  <c r="U16" i="3"/>
  <c r="U17" i="3"/>
  <c r="U18" i="3"/>
  <c r="U19" i="3"/>
  <c r="U20" i="3"/>
  <c r="U21" i="3"/>
  <c r="U22" i="3"/>
  <c r="U23" i="3"/>
  <c r="U24" i="3"/>
  <c r="V24" i="3" s="1"/>
  <c r="Z19" i="3"/>
  <c r="P11" i="3"/>
  <c r="P17" i="3"/>
  <c r="Z13" i="3"/>
  <c r="Z14" i="3"/>
  <c r="Z15" i="3"/>
  <c r="Z16" i="3"/>
  <c r="Z17" i="3"/>
  <c r="Z18" i="3"/>
  <c r="Z20" i="3"/>
  <c r="Z21" i="3"/>
  <c r="Z22" i="3"/>
  <c r="Z23" i="3"/>
  <c r="Z24" i="3"/>
  <c r="Z12" i="3"/>
  <c r="Z8" i="3"/>
  <c r="Z9" i="3"/>
  <c r="Z10" i="3"/>
  <c r="Z11" i="3"/>
  <c r="Z7" i="3"/>
  <c r="P12" i="3"/>
  <c r="P13" i="3"/>
  <c r="P14" i="3"/>
  <c r="P15" i="3"/>
  <c r="P16" i="3"/>
  <c r="P18" i="3"/>
  <c r="P19" i="3"/>
  <c r="P20" i="3"/>
  <c r="P21" i="3"/>
  <c r="P22" i="3"/>
  <c r="P23" i="3"/>
  <c r="P24" i="3"/>
  <c r="P8" i="3"/>
  <c r="P10" i="3"/>
  <c r="U66" i="3" l="1"/>
  <c r="V66" i="3" s="1"/>
  <c r="W66" i="3" s="1"/>
  <c r="X66" i="3" s="1"/>
  <c r="Y66" i="3" s="1"/>
  <c r="T67" i="3"/>
  <c r="Z65" i="3"/>
  <c r="AA65" i="3" s="1"/>
  <c r="AB65" i="3" s="1"/>
  <c r="L67" i="3"/>
  <c r="M67" i="3" s="1"/>
  <c r="N67" i="3" s="1"/>
  <c r="AN66" i="3"/>
  <c r="AO66" i="3" s="1"/>
  <c r="AP66" i="3" s="1"/>
  <c r="F69" i="3"/>
  <c r="H68" i="3"/>
  <c r="I68" i="3" s="1"/>
  <c r="J68" i="3" s="1"/>
  <c r="K68" i="3" s="1"/>
  <c r="AI67" i="3"/>
  <c r="AJ67" i="3" s="1"/>
  <c r="AK67" i="3" s="1"/>
  <c r="AL67" i="3" s="1"/>
  <c r="AM67" i="3" s="1"/>
  <c r="AH68" i="3"/>
  <c r="Q24" i="3"/>
  <c r="AD12" i="3"/>
  <c r="AD16" i="3"/>
  <c r="AD20" i="3"/>
  <c r="AD15" i="3"/>
  <c r="AD21" i="3"/>
  <c r="AD23" i="3"/>
  <c r="AD22" i="3"/>
  <c r="AD18" i="3"/>
  <c r="AD24" i="3"/>
  <c r="AD17" i="3"/>
  <c r="AD19" i="3"/>
  <c r="AD8" i="3"/>
  <c r="AD14" i="3"/>
  <c r="AD13" i="3"/>
  <c r="AD7" i="3"/>
  <c r="AD10" i="3"/>
  <c r="AD9" i="3"/>
  <c r="AD11" i="3"/>
  <c r="G48" i="2"/>
  <c r="G49" i="2"/>
  <c r="G37" i="2"/>
  <c r="G38" i="2"/>
  <c r="G39" i="2"/>
  <c r="J24" i="2"/>
  <c r="J26" i="2"/>
  <c r="J27" i="2"/>
  <c r="J23" i="2"/>
  <c r="I24" i="2"/>
  <c r="I25" i="2"/>
  <c r="I26" i="2"/>
  <c r="I27" i="2"/>
  <c r="I23" i="2"/>
  <c r="E24" i="2"/>
  <c r="E25" i="2"/>
  <c r="K25" i="2" s="1"/>
  <c r="E26" i="2"/>
  <c r="E27" i="2"/>
  <c r="E28" i="2"/>
  <c r="J16" i="2"/>
  <c r="J17" i="2"/>
  <c r="J18" i="2"/>
  <c r="K23" i="2" l="1"/>
  <c r="T68" i="3"/>
  <c r="U67" i="3"/>
  <c r="V67" i="3" s="1"/>
  <c r="W67" i="3" s="1"/>
  <c r="X67" i="3" s="1"/>
  <c r="Y67" i="3" s="1"/>
  <c r="AN67" i="3"/>
  <c r="AO67" i="3" s="1"/>
  <c r="AP67" i="3" s="1"/>
  <c r="Z66" i="3"/>
  <c r="AA66" i="3" s="1"/>
  <c r="AB66" i="3" s="1"/>
  <c r="AI68" i="3"/>
  <c r="AJ68" i="3" s="1"/>
  <c r="AK68" i="3" s="1"/>
  <c r="AL68" i="3" s="1"/>
  <c r="AM68" i="3" s="1"/>
  <c r="AH69" i="3"/>
  <c r="L68" i="3"/>
  <c r="M68" i="3" s="1"/>
  <c r="N68" i="3" s="1"/>
  <c r="F70" i="3"/>
  <c r="G69" i="3"/>
  <c r="H69" i="3" s="1"/>
  <c r="I69" i="3" s="1"/>
  <c r="J69" i="3" s="1"/>
  <c r="K69" i="3" s="1"/>
  <c r="K26" i="2"/>
  <c r="F47" i="2" s="1"/>
  <c r="E29" i="2"/>
  <c r="K24" i="2"/>
  <c r="F45" i="2" s="1"/>
  <c r="AI69" i="3" l="1"/>
  <c r="AJ69" i="3" s="1"/>
  <c r="AK69" i="3" s="1"/>
  <c r="AL69" i="3" s="1"/>
  <c r="AM69" i="3" s="1"/>
  <c r="AH70" i="3"/>
  <c r="L69" i="3"/>
  <c r="M69" i="3" s="1"/>
  <c r="N69" i="3" s="1"/>
  <c r="AN68" i="3"/>
  <c r="AO68" i="3" s="1"/>
  <c r="AP68" i="3" s="1"/>
  <c r="Z67" i="3"/>
  <c r="AA67" i="3" s="1"/>
  <c r="AB67" i="3" s="1"/>
  <c r="T69" i="3"/>
  <c r="U68" i="3"/>
  <c r="V68" i="3" s="1"/>
  <c r="W68" i="3" s="1"/>
  <c r="X68" i="3" s="1"/>
  <c r="Y68" i="3" s="1"/>
  <c r="G70" i="3"/>
  <c r="H70" i="3" s="1"/>
  <c r="I70" i="3" s="1"/>
  <c r="J70" i="3" s="1"/>
  <c r="K70" i="3" s="1"/>
  <c r="F71" i="3"/>
  <c r="F19" i="2"/>
  <c r="G19" i="2"/>
  <c r="H19" i="2"/>
  <c r="I19" i="2"/>
  <c r="E15" i="2"/>
  <c r="K15" i="2" s="1"/>
  <c r="E35" i="2" s="1"/>
  <c r="E16" i="2"/>
  <c r="E17" i="2"/>
  <c r="E18" i="2"/>
  <c r="G8" i="2"/>
  <c r="C8" i="2"/>
  <c r="AN69" i="3" l="1"/>
  <c r="AO69" i="3" s="1"/>
  <c r="AP69" i="3" s="1"/>
  <c r="L70" i="3"/>
  <c r="M70" i="3" s="1"/>
  <c r="N70" i="3" s="1"/>
  <c r="Z68" i="3"/>
  <c r="AA68" i="3" s="1"/>
  <c r="AB68" i="3" s="1"/>
  <c r="AH71" i="3"/>
  <c r="AI70" i="3"/>
  <c r="AJ70" i="3" s="1"/>
  <c r="AK70" i="3" s="1"/>
  <c r="AL70" i="3" s="1"/>
  <c r="AM70" i="3" s="1"/>
  <c r="F72" i="3"/>
  <c r="G71" i="3"/>
  <c r="H71" i="3" s="1"/>
  <c r="I71" i="3" s="1"/>
  <c r="J71" i="3" s="1"/>
  <c r="K71" i="3" s="1"/>
  <c r="T70" i="3"/>
  <c r="U69" i="3"/>
  <c r="V69" i="3" s="1"/>
  <c r="W69" i="3" s="1"/>
  <c r="X69" i="3" s="1"/>
  <c r="Y69" i="3" s="1"/>
  <c r="K16" i="2"/>
  <c r="E19" i="2"/>
  <c r="L17" i="2"/>
  <c r="K17" i="2"/>
  <c r="K18" i="2"/>
  <c r="L18" i="2"/>
  <c r="K8" i="2"/>
  <c r="I28" i="2"/>
  <c r="Q23" i="1"/>
  <c r="Q17" i="1"/>
  <c r="Q10" i="1"/>
  <c r="Q11" i="1"/>
  <c r="Q12" i="1"/>
  <c r="Q13" i="1"/>
  <c r="Q14" i="1"/>
  <c r="Q15" i="1"/>
  <c r="Q16" i="1"/>
  <c r="Q18" i="1"/>
  <c r="Q19" i="1"/>
  <c r="Q20" i="1"/>
  <c r="Q21" i="1"/>
  <c r="Q22" i="1"/>
  <c r="I18" i="3"/>
  <c r="J18" i="3" s="1"/>
  <c r="I19" i="3"/>
  <c r="I20" i="3"/>
  <c r="J20" i="3" s="1"/>
  <c r="AI71" i="3" l="1"/>
  <c r="AJ71" i="3" s="1"/>
  <c r="AK71" i="3" s="1"/>
  <c r="AL71" i="3" s="1"/>
  <c r="AM71" i="3" s="1"/>
  <c r="AH72" i="3"/>
  <c r="T71" i="3"/>
  <c r="U70" i="3"/>
  <c r="V70" i="3" s="1"/>
  <c r="W70" i="3" s="1"/>
  <c r="X70" i="3" s="1"/>
  <c r="Y70" i="3" s="1"/>
  <c r="L71" i="3"/>
  <c r="M71" i="3" s="1"/>
  <c r="N71" i="3" s="1"/>
  <c r="AN70" i="3"/>
  <c r="AO70" i="3" s="1"/>
  <c r="AP70" i="3" s="1"/>
  <c r="Z69" i="3"/>
  <c r="AA69" i="3" s="1"/>
  <c r="AB69" i="3" s="1"/>
  <c r="G72" i="3"/>
  <c r="H72" i="3" s="1"/>
  <c r="I72" i="3" s="1"/>
  <c r="J72" i="3" s="1"/>
  <c r="K72" i="3" s="1"/>
  <c r="F73" i="3"/>
  <c r="F38" i="2"/>
  <c r="J19" i="3"/>
  <c r="K18" i="3" s="1"/>
  <c r="L18" i="3" s="1"/>
  <c r="M18" i="3" s="1"/>
  <c r="I7" i="3" s="1"/>
  <c r="R6" i="3" s="1"/>
  <c r="Q4" i="1"/>
  <c r="E38" i="2"/>
  <c r="E49" i="2"/>
  <c r="E37" i="2"/>
  <c r="E48" i="2"/>
  <c r="Z70" i="3" l="1"/>
  <c r="AA70" i="3" s="1"/>
  <c r="AB70" i="3" s="1"/>
  <c r="T72" i="3"/>
  <c r="U71" i="3"/>
  <c r="V71" i="3" s="1"/>
  <c r="W71" i="3" s="1"/>
  <c r="X71" i="3" s="1"/>
  <c r="Y71" i="3" s="1"/>
  <c r="AH73" i="3"/>
  <c r="AI72" i="3"/>
  <c r="AJ72" i="3" s="1"/>
  <c r="AK72" i="3" s="1"/>
  <c r="AL72" i="3" s="1"/>
  <c r="AM72" i="3" s="1"/>
  <c r="AN71" i="3"/>
  <c r="AO71" i="3" s="1"/>
  <c r="AP71" i="3" s="1"/>
  <c r="G73" i="3"/>
  <c r="H73" i="3" s="1"/>
  <c r="I73" i="3" s="1"/>
  <c r="J73" i="3" s="1"/>
  <c r="K73" i="3" s="1"/>
  <c r="F74" i="3"/>
  <c r="G74" i="3" s="1"/>
  <c r="H74" i="3" s="1"/>
  <c r="I74" i="3" s="1"/>
  <c r="J74" i="3" s="1"/>
  <c r="K74" i="3" s="1"/>
  <c r="L72" i="3"/>
  <c r="M72" i="3" s="1"/>
  <c r="N72" i="3" s="1"/>
  <c r="AB33" i="3"/>
  <c r="R31" i="3"/>
  <c r="AB31" i="3"/>
  <c r="R27" i="3"/>
  <c r="W33" i="3"/>
  <c r="W35" i="3"/>
  <c r="W29" i="3"/>
  <c r="W30" i="3"/>
  <c r="W31" i="3"/>
  <c r="AB36" i="3"/>
  <c r="W32" i="3"/>
  <c r="W26" i="3"/>
  <c r="W27" i="3"/>
  <c r="W34" i="3"/>
  <c r="R34" i="3"/>
  <c r="AB32" i="3"/>
  <c r="AB30" i="3"/>
  <c r="AB28" i="3"/>
  <c r="AB26" i="3"/>
  <c r="AB34" i="3"/>
  <c r="R32" i="3"/>
  <c r="AB35" i="3"/>
  <c r="W28" i="3"/>
  <c r="R26" i="3"/>
  <c r="W36" i="3"/>
  <c r="R35" i="3"/>
  <c r="R33" i="3"/>
  <c r="R29" i="3"/>
  <c r="R36" i="3"/>
  <c r="AB29" i="3"/>
  <c r="R30" i="3"/>
  <c r="R28" i="3"/>
  <c r="AB27" i="3"/>
  <c r="R25" i="3"/>
  <c r="W25" i="3"/>
  <c r="AB25" i="3"/>
  <c r="R24" i="3"/>
  <c r="AB6" i="3"/>
  <c r="W6" i="3"/>
  <c r="AB8" i="3"/>
  <c r="AB7" i="3"/>
  <c r="R10" i="3"/>
  <c r="W10" i="3"/>
  <c r="W7" i="3"/>
  <c r="R8" i="3"/>
  <c r="W9" i="3"/>
  <c r="AB9" i="3"/>
  <c r="R7" i="3"/>
  <c r="W8" i="3"/>
  <c r="R9" i="3"/>
  <c r="AB10" i="3"/>
  <c r="H38" i="2"/>
  <c r="H49" i="2"/>
  <c r="Z71" i="3" l="1"/>
  <c r="AA71" i="3" s="1"/>
  <c r="AB71" i="3" s="1"/>
  <c r="U72" i="3"/>
  <c r="V72" i="3" s="1"/>
  <c r="W72" i="3" s="1"/>
  <c r="X72" i="3" s="1"/>
  <c r="Y72" i="3" s="1"/>
  <c r="T73" i="3"/>
  <c r="AN72" i="3"/>
  <c r="AO72" i="3" s="1"/>
  <c r="AP72" i="3" s="1"/>
  <c r="AH74" i="3"/>
  <c r="AI74" i="3" s="1"/>
  <c r="AJ74" i="3" s="1"/>
  <c r="AK74" i="3" s="1"/>
  <c r="AL74" i="3" s="1"/>
  <c r="AM74" i="3" s="1"/>
  <c r="AI73" i="3"/>
  <c r="AJ73" i="3" s="1"/>
  <c r="AK73" i="3" s="1"/>
  <c r="AL73" i="3" s="1"/>
  <c r="AM73" i="3" s="1"/>
  <c r="L74" i="3"/>
  <c r="M74" i="3" s="1"/>
  <c r="N74" i="3" s="1"/>
  <c r="L73" i="3"/>
  <c r="M73" i="3" s="1"/>
  <c r="N73" i="3" s="1"/>
  <c r="J49" i="2"/>
  <c r="K49" i="2" s="1"/>
  <c r="AN74" i="3" l="1"/>
  <c r="AO74" i="3" s="1"/>
  <c r="AP74" i="3" s="1"/>
  <c r="T74" i="3"/>
  <c r="U74" i="3" s="1"/>
  <c r="V74" i="3" s="1"/>
  <c r="W74" i="3" s="1"/>
  <c r="X74" i="3" s="1"/>
  <c r="Y74" i="3" s="1"/>
  <c r="U73" i="3"/>
  <c r="V73" i="3" s="1"/>
  <c r="W73" i="3" s="1"/>
  <c r="X73" i="3" s="1"/>
  <c r="Y73" i="3" s="1"/>
  <c r="AN73" i="3"/>
  <c r="AO73" i="3" s="1"/>
  <c r="AP73" i="3" s="1"/>
  <c r="Z72" i="3"/>
  <c r="AA72" i="3" s="1"/>
  <c r="AB72" i="3" s="1"/>
  <c r="Z73" i="3" l="1"/>
  <c r="AA73" i="3" s="1"/>
  <c r="AB73" i="3" s="1"/>
  <c r="Z74" i="3"/>
  <c r="AA74" i="3" s="1"/>
  <c r="AB74" i="3" s="1"/>
  <c r="U25" i="1" l="1"/>
  <c r="X25" i="1" s="1"/>
  <c r="Y25" i="1" l="1"/>
  <c r="Z25" i="1" s="1"/>
  <c r="AE25" i="1"/>
  <c r="U26" i="1"/>
  <c r="X26" i="1" s="1"/>
  <c r="AE26" i="1" s="1"/>
  <c r="AB24" i="3"/>
  <c r="W24" i="3"/>
  <c r="AB23" i="3"/>
  <c r="W23" i="3"/>
  <c r="R23" i="3"/>
  <c r="AB22" i="3"/>
  <c r="W22" i="3"/>
  <c r="R22" i="3"/>
  <c r="AB21" i="3"/>
  <c r="W21" i="3"/>
  <c r="R21" i="3"/>
  <c r="AB20" i="3"/>
  <c r="W20" i="3"/>
  <c r="R20" i="3"/>
  <c r="AB19" i="3"/>
  <c r="W19" i="3"/>
  <c r="R19" i="3"/>
  <c r="AB18" i="3"/>
  <c r="W18" i="3"/>
  <c r="R18" i="3"/>
  <c r="AB17" i="3"/>
  <c r="W17" i="3"/>
  <c r="R17" i="3"/>
  <c r="AB16" i="3"/>
  <c r="W16" i="3"/>
  <c r="R16" i="3"/>
  <c r="AB15" i="3"/>
  <c r="W15" i="3"/>
  <c r="R15" i="3"/>
  <c r="AB14" i="3"/>
  <c r="W14" i="3"/>
  <c r="R14" i="3"/>
  <c r="AB13" i="3"/>
  <c r="W13" i="3"/>
  <c r="R13" i="3"/>
  <c r="AB12" i="3"/>
  <c r="W12" i="3"/>
  <c r="R12" i="3"/>
  <c r="AB11" i="3"/>
  <c r="W11" i="3"/>
  <c r="R11" i="3"/>
  <c r="G18" i="1"/>
  <c r="H18" i="1"/>
  <c r="I18" i="1"/>
  <c r="J18" i="1"/>
  <c r="K18" i="1"/>
  <c r="L18" i="1"/>
  <c r="P18" i="1"/>
  <c r="S18" i="1"/>
  <c r="W18" i="1"/>
  <c r="G19" i="1"/>
  <c r="H19" i="1"/>
  <c r="I19" i="1"/>
  <c r="J19" i="1"/>
  <c r="K19" i="1"/>
  <c r="L19" i="1"/>
  <c r="P19" i="1"/>
  <c r="S19" i="1"/>
  <c r="W19" i="1"/>
  <c r="G20" i="1"/>
  <c r="H20" i="1"/>
  <c r="I20" i="1"/>
  <c r="J20" i="1"/>
  <c r="K20" i="1"/>
  <c r="L20" i="1"/>
  <c r="P20" i="1"/>
  <c r="S20" i="1"/>
  <c r="W20" i="1"/>
  <c r="Y26" i="1" l="1"/>
  <c r="Z26" i="1" s="1"/>
  <c r="U27" i="1"/>
  <c r="X27" i="1" s="1"/>
  <c r="AE27" i="1" s="1"/>
  <c r="V23" i="3"/>
  <c r="V7" i="3"/>
  <c r="AA12" i="3"/>
  <c r="Q18" i="3"/>
  <c r="AA7" i="3"/>
  <c r="Q13" i="3"/>
  <c r="V18" i="3"/>
  <c r="AA23" i="3"/>
  <c r="Q8" i="3"/>
  <c r="V13" i="3"/>
  <c r="AA18" i="3"/>
  <c r="V8" i="3"/>
  <c r="AA13" i="3"/>
  <c r="Q19" i="3"/>
  <c r="AA8" i="3"/>
  <c r="Q14" i="3"/>
  <c r="V19" i="3"/>
  <c r="AA24" i="3"/>
  <c r="Q9" i="3"/>
  <c r="V14" i="3"/>
  <c r="AA19" i="3"/>
  <c r="V9" i="3"/>
  <c r="AA14" i="3"/>
  <c r="Q20" i="3"/>
  <c r="AA9" i="3"/>
  <c r="Q15" i="3"/>
  <c r="V20" i="3"/>
  <c r="Q10" i="3"/>
  <c r="V15" i="3"/>
  <c r="AA20" i="3"/>
  <c r="V10" i="3"/>
  <c r="AA15" i="3"/>
  <c r="Q21" i="3"/>
  <c r="AA10" i="3"/>
  <c r="Q16" i="3"/>
  <c r="V21" i="3"/>
  <c r="Q11" i="3"/>
  <c r="V16" i="3"/>
  <c r="AA21" i="3"/>
  <c r="V11" i="3"/>
  <c r="AA16" i="3"/>
  <c r="Q22" i="3"/>
  <c r="AA11" i="3"/>
  <c r="Q17" i="3"/>
  <c r="V22" i="3"/>
  <c r="Q12" i="3"/>
  <c r="V17" i="3"/>
  <c r="AA22" i="3"/>
  <c r="Q7" i="3"/>
  <c r="V12" i="3"/>
  <c r="AA17" i="3"/>
  <c r="Q23" i="3"/>
  <c r="U24" i="1" l="1"/>
  <c r="X24" i="1" s="1"/>
  <c r="Y27" i="1"/>
  <c r="Z27" i="1" s="1"/>
  <c r="U28" i="1"/>
  <c r="X28" i="1" s="1"/>
  <c r="O17" i="1"/>
  <c r="O21" i="1"/>
  <c r="O13" i="1"/>
  <c r="O18" i="1"/>
  <c r="O9" i="1"/>
  <c r="O14" i="1"/>
  <c r="O22" i="1"/>
  <c r="O5" i="1"/>
  <c r="O7" i="1"/>
  <c r="O6" i="1"/>
  <c r="O15" i="1"/>
  <c r="O11" i="1"/>
  <c r="O20" i="1"/>
  <c r="O8" i="1"/>
  <c r="O16" i="1"/>
  <c r="O10" i="1"/>
  <c r="O19" i="1"/>
  <c r="O12" i="1"/>
  <c r="Y28" i="1" l="1"/>
  <c r="Z28" i="1" s="1"/>
  <c r="AE28" i="1"/>
  <c r="Y24" i="1"/>
  <c r="Z24" i="1" s="1"/>
  <c r="AE24" i="1"/>
  <c r="T35" i="1"/>
  <c r="U29" i="1"/>
  <c r="X29" i="1" s="1"/>
  <c r="AE29" i="1" s="1"/>
  <c r="O35" i="1"/>
  <c r="Y29" i="1" l="1"/>
  <c r="Z29" i="1" s="1"/>
  <c r="U30" i="1"/>
  <c r="X30" i="1" s="1"/>
  <c r="J4" i="1"/>
  <c r="H4" i="1"/>
  <c r="G13" i="1"/>
  <c r="Q9" i="1"/>
  <c r="Q6" i="1"/>
  <c r="Q7" i="1"/>
  <c r="G47" i="2"/>
  <c r="G46" i="2"/>
  <c r="G45" i="2"/>
  <c r="G44" i="2"/>
  <c r="G36" i="2"/>
  <c r="G35" i="2"/>
  <c r="G34" i="2"/>
  <c r="G33" i="2"/>
  <c r="I29" i="2"/>
  <c r="J15" i="2"/>
  <c r="J14" i="2"/>
  <c r="W23" i="1"/>
  <c r="P23" i="1"/>
  <c r="U23" i="1" s="1"/>
  <c r="X23" i="1" s="1"/>
  <c r="AE23" i="1" s="1"/>
  <c r="L23" i="1"/>
  <c r="J23" i="1"/>
  <c r="H23" i="1"/>
  <c r="W22" i="1"/>
  <c r="P22" i="1"/>
  <c r="L22" i="1"/>
  <c r="J22" i="1"/>
  <c r="H22" i="1"/>
  <c r="W21" i="1"/>
  <c r="P21" i="1"/>
  <c r="L21" i="1"/>
  <c r="J21" i="1"/>
  <c r="H21" i="1"/>
  <c r="W17" i="1"/>
  <c r="P17" i="1"/>
  <c r="L17" i="1"/>
  <c r="J17" i="1"/>
  <c r="I17" i="1"/>
  <c r="H17" i="1"/>
  <c r="W16" i="1"/>
  <c r="P16" i="1"/>
  <c r="L16" i="1"/>
  <c r="J16" i="1"/>
  <c r="H16" i="1"/>
  <c r="W15" i="1"/>
  <c r="P15" i="1"/>
  <c r="L15" i="1"/>
  <c r="J15" i="1"/>
  <c r="H15" i="1"/>
  <c r="W14" i="1"/>
  <c r="P14" i="1"/>
  <c r="L14" i="1"/>
  <c r="J14" i="1"/>
  <c r="H14" i="1"/>
  <c r="K16" i="1"/>
  <c r="W13" i="1"/>
  <c r="P13" i="1"/>
  <c r="L13" i="1"/>
  <c r="J13" i="1"/>
  <c r="H13" i="1"/>
  <c r="W12" i="1"/>
  <c r="P12" i="1"/>
  <c r="L12" i="1"/>
  <c r="J12" i="1"/>
  <c r="H12" i="1"/>
  <c r="W11" i="1"/>
  <c r="P11" i="1"/>
  <c r="L11" i="1"/>
  <c r="J11" i="1"/>
  <c r="H11" i="1"/>
  <c r="W10" i="1"/>
  <c r="P10" i="1"/>
  <c r="L10" i="1"/>
  <c r="J10" i="1"/>
  <c r="H10" i="1"/>
  <c r="I14" i="1"/>
  <c r="W9" i="1"/>
  <c r="P9" i="1"/>
  <c r="L9" i="1"/>
  <c r="J9" i="1"/>
  <c r="H9" i="1"/>
  <c r="W8" i="1"/>
  <c r="P8" i="1"/>
  <c r="L8" i="1"/>
  <c r="J8" i="1"/>
  <c r="H8" i="1"/>
  <c r="W7" i="1"/>
  <c r="P7" i="1"/>
  <c r="L7" i="1"/>
  <c r="J7" i="1"/>
  <c r="H7" i="1"/>
  <c r="W6" i="1"/>
  <c r="P6" i="1"/>
  <c r="L6" i="1"/>
  <c r="J6" i="1"/>
  <c r="H6" i="1"/>
  <c r="W5" i="1"/>
  <c r="P5" i="1"/>
  <c r="L5" i="1"/>
  <c r="J5" i="1"/>
  <c r="H5" i="1"/>
  <c r="W4" i="1"/>
  <c r="P4" i="1"/>
  <c r="L4" i="1"/>
  <c r="Y30" i="1" l="1"/>
  <c r="Z30" i="1" s="1"/>
  <c r="AE30" i="1"/>
  <c r="U31" i="1"/>
  <c r="X31" i="1" s="1"/>
  <c r="Y23" i="1"/>
  <c r="Z23" i="1" s="1"/>
  <c r="P35" i="1"/>
  <c r="G50" i="2"/>
  <c r="Q8" i="1"/>
  <c r="I8" i="1"/>
  <c r="S5" i="1"/>
  <c r="Q5" i="1"/>
  <c r="Q35" i="1" s="1"/>
  <c r="J35" i="1"/>
  <c r="S9" i="1"/>
  <c r="G5" i="1"/>
  <c r="K7" i="1"/>
  <c r="S4" i="1"/>
  <c r="H35" i="1"/>
  <c r="I4" i="1"/>
  <c r="M4" i="1" s="1"/>
  <c r="L35" i="1"/>
  <c r="G27" i="2"/>
  <c r="G7" i="1"/>
  <c r="K5" i="1"/>
  <c r="J13" i="2"/>
  <c r="J19" i="2" s="1"/>
  <c r="K8" i="1"/>
  <c r="G9" i="1"/>
  <c r="K11" i="1"/>
  <c r="B12" i="1"/>
  <c r="K14" i="1"/>
  <c r="G6" i="1"/>
  <c r="S7" i="1"/>
  <c r="G12" i="1"/>
  <c r="K17" i="1"/>
  <c r="I23" i="1"/>
  <c r="I9" i="1"/>
  <c r="S10" i="1"/>
  <c r="S13" i="1"/>
  <c r="S16" i="1"/>
  <c r="I6" i="1"/>
  <c r="I12" i="1"/>
  <c r="G15" i="1"/>
  <c r="G21" i="1"/>
  <c r="S22" i="1"/>
  <c r="K23" i="1"/>
  <c r="K9" i="1"/>
  <c r="K6" i="1"/>
  <c r="K12" i="1"/>
  <c r="I15" i="1"/>
  <c r="I21" i="1"/>
  <c r="S8" i="1"/>
  <c r="G10" i="1"/>
  <c r="S11" i="1"/>
  <c r="S14" i="1"/>
  <c r="K15" i="1"/>
  <c r="G16" i="1"/>
  <c r="K21" i="1"/>
  <c r="I7" i="1"/>
  <c r="S17" i="1"/>
  <c r="G22" i="1"/>
  <c r="I10" i="1"/>
  <c r="I13" i="1"/>
  <c r="I16" i="1"/>
  <c r="I22" i="1"/>
  <c r="K22" i="1"/>
  <c r="S6" i="1"/>
  <c r="G8" i="1"/>
  <c r="G11" i="1"/>
  <c r="S12" i="1"/>
  <c r="G14" i="1"/>
  <c r="K10" i="1"/>
  <c r="K13" i="1"/>
  <c r="I5" i="1"/>
  <c r="I11" i="1"/>
  <c r="S15" i="1"/>
  <c r="S21" i="1"/>
  <c r="M6" i="1" l="1"/>
  <c r="S35" i="1"/>
  <c r="M5" i="1"/>
  <c r="M35" i="1" s="1"/>
  <c r="G35" i="1"/>
  <c r="Y31" i="1"/>
  <c r="Z31" i="1" s="1"/>
  <c r="AE31" i="1"/>
  <c r="U32" i="1"/>
  <c r="X32" i="1" s="1"/>
  <c r="K27" i="2"/>
  <c r="K29" i="2" s="1"/>
  <c r="G29" i="2"/>
  <c r="X4" i="1"/>
  <c r="AE4" i="1" s="1"/>
  <c r="U7" i="1"/>
  <c r="J29" i="2"/>
  <c r="I35" i="1"/>
  <c r="K35" i="1"/>
  <c r="Y32" i="1" l="1"/>
  <c r="Z32" i="1" s="1"/>
  <c r="AE32" i="1"/>
  <c r="U33" i="1"/>
  <c r="X33" i="1" s="1"/>
  <c r="Y4" i="1"/>
  <c r="Z4" i="1" s="1"/>
  <c r="F37" i="2"/>
  <c r="H37" i="2" s="1"/>
  <c r="F48" i="2"/>
  <c r="H48" i="2" s="1"/>
  <c r="J48" i="2" s="1"/>
  <c r="U11" i="1"/>
  <c r="X11" i="1" s="1"/>
  <c r="AE11" i="1" s="1"/>
  <c r="U14" i="1"/>
  <c r="X14" i="1" s="1"/>
  <c r="U5" i="1"/>
  <c r="X5" i="1" s="1"/>
  <c r="AE5" i="1" s="1"/>
  <c r="X7" i="1"/>
  <c r="U12" i="1"/>
  <c r="X12" i="1" s="1"/>
  <c r="AE12" i="1" s="1"/>
  <c r="U8" i="1"/>
  <c r="X8" i="1" s="1"/>
  <c r="U10" i="1"/>
  <c r="X10" i="1" s="1"/>
  <c r="U6" i="1"/>
  <c r="X6" i="1" s="1"/>
  <c r="Y6" i="1" s="1"/>
  <c r="U9" i="1"/>
  <c r="X9" i="1" s="1"/>
  <c r="U15" i="1"/>
  <c r="X15" i="1" s="1"/>
  <c r="U13" i="1"/>
  <c r="X13" i="1" s="1"/>
  <c r="AE13" i="1" s="1"/>
  <c r="U16" i="1"/>
  <c r="X16" i="1" s="1"/>
  <c r="AE16" i="1" s="1"/>
  <c r="Y7" i="1" l="1"/>
  <c r="Z7" i="1" s="1"/>
  <c r="AE7" i="1"/>
  <c r="Y8" i="1"/>
  <c r="Z8" i="1" s="1"/>
  <c r="AE8" i="1"/>
  <c r="Y33" i="1"/>
  <c r="Z33" i="1" s="1"/>
  <c r="AE33" i="1"/>
  <c r="Y9" i="1"/>
  <c r="Z9" i="1" s="1"/>
  <c r="AE9" i="1"/>
  <c r="Y10" i="1"/>
  <c r="AE10" i="1"/>
  <c r="Y14" i="1"/>
  <c r="Z14" i="1" s="1"/>
  <c r="AE14" i="1"/>
  <c r="Y15" i="1"/>
  <c r="Z15" i="1" s="1"/>
  <c r="AE15" i="1"/>
  <c r="AE6" i="1"/>
  <c r="U34" i="1"/>
  <c r="X34" i="1" s="1"/>
  <c r="AE34" i="1" s="1"/>
  <c r="R35" i="1"/>
  <c r="Y13" i="1"/>
  <c r="Z13" i="1" s="1"/>
  <c r="K48" i="2"/>
  <c r="Y5" i="1"/>
  <c r="Y11" i="1"/>
  <c r="Y12" i="1"/>
  <c r="Y16" i="1"/>
  <c r="Z6" i="1"/>
  <c r="Z10" i="1"/>
  <c r="Y34" i="1" l="1"/>
  <c r="Z34" i="1" s="1"/>
  <c r="Z16" i="1"/>
  <c r="Z11" i="1"/>
  <c r="Z12" i="1"/>
  <c r="U17" i="1"/>
  <c r="U18" i="1" l="1"/>
  <c r="X18" i="1" s="1"/>
  <c r="AE18" i="1" s="1"/>
  <c r="X17" i="1"/>
  <c r="Y17" i="1" l="1"/>
  <c r="Z17" i="1" s="1"/>
  <c r="AE17" i="1"/>
  <c r="Y18" i="1"/>
  <c r="U19" i="1"/>
  <c r="X19" i="1" l="1"/>
  <c r="AE19" i="1" s="1"/>
  <c r="Z18" i="1"/>
  <c r="U20" i="1"/>
  <c r="X20" i="1" s="1"/>
  <c r="H29" i="2"/>
  <c r="Y20" i="1" l="1"/>
  <c r="AE20" i="1"/>
  <c r="Y19" i="1"/>
  <c r="Z20" i="1"/>
  <c r="U21" i="1"/>
  <c r="Z19" i="1" l="1"/>
  <c r="U22" i="1"/>
  <c r="X22" i="1" s="1"/>
  <c r="AE22" i="1" s="1"/>
  <c r="AB3" i="1"/>
  <c r="X21" i="1"/>
  <c r="AE21" i="1" s="1"/>
  <c r="L15" i="2"/>
  <c r="K14" i="2"/>
  <c r="L14" i="2"/>
  <c r="L16" i="2"/>
  <c r="L13" i="2"/>
  <c r="K13" i="2"/>
  <c r="F29" i="2"/>
  <c r="F33" i="2"/>
  <c r="Y21" i="1" l="1"/>
  <c r="Z21" i="1" s="1"/>
  <c r="AE37" i="1"/>
  <c r="U35" i="1"/>
  <c r="K19" i="2"/>
  <c r="L19" i="2"/>
  <c r="F46" i="2"/>
  <c r="F35" i="2"/>
  <c r="E47" i="2"/>
  <c r="E36" i="2"/>
  <c r="E44" i="2"/>
  <c r="E33" i="2"/>
  <c r="E34" i="2"/>
  <c r="E45" i="2"/>
  <c r="F36" i="2"/>
  <c r="F34" i="2"/>
  <c r="F44" i="2"/>
  <c r="E46" i="2"/>
  <c r="Y22" i="1" l="1"/>
  <c r="Z22" i="1" s="1"/>
  <c r="E50" i="2"/>
  <c r="F50" i="2"/>
  <c r="F39" i="2"/>
  <c r="E39" i="2"/>
  <c r="H46" i="2"/>
  <c r="J46" i="2" s="1"/>
  <c r="H34" i="2"/>
  <c r="H45" i="2"/>
  <c r="J45" i="2" s="1"/>
  <c r="H44" i="2"/>
  <c r="H33" i="2"/>
  <c r="H36" i="2"/>
  <c r="H47" i="2"/>
  <c r="J47" i="2" s="1"/>
  <c r="H35" i="2"/>
  <c r="J44" i="2" l="1"/>
  <c r="K44" i="2" s="1"/>
  <c r="H50" i="2"/>
  <c r="AB4" i="1"/>
  <c r="AB5" i="1" s="1"/>
  <c r="H39" i="2"/>
  <c r="K46" i="2"/>
  <c r="J50" i="2" l="1"/>
  <c r="K45" i="2"/>
  <c r="K47" i="2"/>
  <c r="K50" i="2" l="1"/>
  <c r="F4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Chaitra-KMS</author>
    <author>Paul-KMS</author>
  </authors>
  <commentList>
    <comment ref="D5" authorId="0" shapeId="0" xr:uid="{A285C4C4-46BC-4FFB-B43C-B6287FF616C7}">
      <text>
        <r>
          <rPr>
            <b/>
            <sz val="9"/>
            <color indexed="81"/>
            <rFont val="Tahoma"/>
            <family val="2"/>
          </rPr>
          <t xml:space="preserve">
Pavithra-KMS:
</t>
        </r>
        <r>
          <rPr>
            <sz val="9"/>
            <color indexed="81"/>
            <rFont val="Tahoma"/>
            <family val="2"/>
          </rPr>
          <t>https://www.researchgate.net/publication/274546754_Simulating_change_in_soil_organic_carbon_in_two_long_term_fertilizer_experiments_in_India_with_the_Roth_C_model</t>
        </r>
      </text>
    </comment>
    <comment ref="I6" authorId="1" shapeId="0" xr:uid="{CAAE106B-AFA7-422A-8C9C-1B02AEE9A97F}">
      <text>
        <r>
          <rPr>
            <b/>
            <sz val="9"/>
            <color indexed="81"/>
            <rFont val="Tahoma"/>
            <family val="2"/>
          </rPr>
          <t>Paul-KMS:</t>
        </r>
        <r>
          <rPr>
            <sz val="9"/>
            <color indexed="81"/>
            <rFont val="Tahoma"/>
            <family val="2"/>
          </rPr>
          <t xml:space="preserve">
CDM A/R tool for "Estimation of Direct Nitrous Oxide Emissions from Nitrogen Fertilization
N_2 O_(direct-N,t)=(F_(SN,t)+F_(ON,t))×〖EF〗_1×〖MW〗_(N_2 O)×〖GWP〗_(N_2 O)
 By applying above equation
N2Odirect-N,t =7.965*0.01*(44/28) *310 =0.38 tco2e</t>
        </r>
      </text>
    </comment>
    <comment ref="P6" authorId="1" shapeId="0" xr:uid="{C23FB754-4B3D-46DA-9170-BEEF88ECF237}">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U6" authorId="1" shapeId="0" xr:uid="{90072A54-9D2D-44A0-806D-592490D3FD49}">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Z6" authorId="1" shapeId="0" xr:uid="{716EFB72-573C-4FF1-9CEC-C2546A23A6AB}">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C44" authorId="1" shapeId="0" xr:uid="{60E55DDE-07EA-4671-97C2-1135DAC012FC}">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D44" authorId="1" shapeId="0" xr:uid="{72E147A9-0AD4-4699-85BB-CBB08273FE2A}">
      <text>
        <r>
          <rPr>
            <b/>
            <sz val="9"/>
            <color indexed="81"/>
            <rFont val="Tahoma"/>
            <family val="2"/>
          </rPr>
          <t>Paul-KMS:</t>
        </r>
        <r>
          <rPr>
            <sz val="9"/>
            <color indexed="81"/>
            <rFont val="Tahoma"/>
            <family val="2"/>
          </rPr>
          <t xml:space="preserve">
Source: ABMS_Monitoring_Data_Agroforestry_Version_5_VERRA.xlsc
"E6"-table</t>
        </r>
      </text>
    </comment>
    <comment ref="E44" authorId="1" shapeId="0" xr:uid="{4BB4C31F-494B-4079-9050-001C0FB4F676}">
      <text>
        <r>
          <rPr>
            <b/>
            <sz val="9"/>
            <color indexed="81"/>
            <rFont val="Tahoma"/>
            <family val="2"/>
          </rPr>
          <t>Paul-KMS:</t>
        </r>
        <r>
          <rPr>
            <sz val="9"/>
            <color indexed="81"/>
            <rFont val="Tahoma"/>
            <family val="2"/>
          </rPr>
          <t xml:space="preserve">
Source: ABMS_Monitoring_Data_Agroforestry_Version_5_VERRA.xlsc
"F6"-table</t>
        </r>
      </text>
    </comment>
    <comment ref="F44" authorId="1" shapeId="0" xr:uid="{C72E5076-E849-405B-878B-03631BFA1F2F}">
      <text>
        <r>
          <rPr>
            <b/>
            <sz val="9"/>
            <color indexed="81"/>
            <rFont val="Tahoma"/>
            <family val="2"/>
          </rPr>
          <t>Paul-KMS:</t>
        </r>
        <r>
          <rPr>
            <sz val="9"/>
            <color indexed="81"/>
            <rFont val="Tahoma"/>
            <family val="2"/>
          </rPr>
          <t xml:space="preserve">
0.5CM increase per year from 5th year onwards corresponds to approximately 1% increase of tree circumference which is widely used conservative estimate for tree growth.</t>
        </r>
      </text>
    </comment>
    <comment ref="G44" authorId="1" shapeId="0" xr:uid="{2B36E5E8-B6C8-4246-A409-D35A8CBA179A}">
      <text>
        <r>
          <rPr>
            <b/>
            <sz val="9"/>
            <color indexed="81"/>
            <rFont val="Tahoma"/>
            <family val="2"/>
          </rPr>
          <t>Paul-KMS:</t>
        </r>
        <r>
          <rPr>
            <sz val="9"/>
            <color indexed="81"/>
            <rFont val="Tahoma"/>
            <family val="2"/>
          </rPr>
          <t xml:space="preserve">
3.2 APPROACH 2: BIOMASS DENSITY BASED ON STAND TABLES
A key issue is the choice of the average diameter to represent the dbh class. For small dbh classes (10 cm or less), the mid-point of the class has been used (e.g., Brown et al. 1989) = 3.142.
Source : https://www.fao.org/4/W4095E/w4095e06.htm#:~:text=The%20first%20approach%20is%20based%20on%20the%20use,directly%20estimates%20biomass%20density%20using%20biomass%20regression%20equations.</t>
        </r>
      </text>
    </comment>
    <comment ref="H44" authorId="1" shapeId="0" xr:uid="{5AEC6FBC-52AF-4536-A365-6855D70210F7}">
      <text>
        <r>
          <rPr>
            <b/>
            <sz val="9"/>
            <color indexed="81"/>
            <rFont val="Tahoma"/>
            <family val="2"/>
          </rPr>
          <t>Paul-KMS:</t>
        </r>
        <r>
          <rPr>
            <sz val="9"/>
            <color indexed="81"/>
            <rFont val="Tahoma"/>
            <family val="2"/>
          </rPr>
          <t xml:space="preserve">
Biomass volume is calculated using the allometric equation 3.2.1 for tropical forest biome based on Browns et al. (1989)14
Y = exp{-1.996+2.32*ln(D)}
Where,
Y biomass per tree in kg
D dbh in cm
Source : https://www.fao.org/4/W4095E/w4095e06.htm#:~:text=The%20first%20approach%20is%20based%20on%20the%20use,directly%20estimates%20biomass%20density%20using%20biomass%20regression%20equations.</t>
        </r>
      </text>
    </comment>
    <comment ref="L44" authorId="1" shapeId="0" xr:uid="{423FE552-30C1-465A-8865-09D1E72DC900}">
      <text>
        <r>
          <rPr>
            <b/>
            <sz val="9"/>
            <color indexed="81"/>
            <rFont val="Tahoma"/>
            <family val="2"/>
          </rPr>
          <t>Paul-KMS:</t>
        </r>
        <r>
          <rPr>
            <sz val="9"/>
            <color indexed="81"/>
            <rFont val="Tahoma"/>
            <family val="2"/>
          </rPr>
          <t xml:space="preserve">
Value applied : 0.30
Justification : Based on scientific studies of common native species in India. Biomass Production and Carbon Sequestration Potential of Different Agroforestry Systems in India: A Critical Review 2022, 13(8), 1274
Source: https://doi.org/10.3390/f13081274
</t>
        </r>
      </text>
    </comment>
    <comment ref="Q44" authorId="1" shapeId="0" xr:uid="{C5529DCD-6D69-4832-AC7F-D8F43FA15673}">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R44" authorId="1" shapeId="0" xr:uid="{0AAAF809-D7FA-48A1-8F85-D89F339521F2}">
      <text>
        <r>
          <rPr>
            <b/>
            <sz val="9"/>
            <color indexed="81"/>
            <rFont val="Tahoma"/>
            <family val="2"/>
          </rPr>
          <t>Paul-KMS:</t>
        </r>
        <r>
          <rPr>
            <sz val="9"/>
            <color indexed="81"/>
            <rFont val="Tahoma"/>
            <family val="2"/>
          </rPr>
          <t xml:space="preserve">
Source: ABMS_Monitoring_Data_Agroforestry_Version_5_VERRA.xlsc
"E11"-table</t>
        </r>
      </text>
    </comment>
    <comment ref="S44" authorId="1" shapeId="0" xr:uid="{2E279C10-1838-4869-8994-BC860DB7DA45}">
      <text>
        <r>
          <rPr>
            <b/>
            <sz val="9"/>
            <color indexed="81"/>
            <rFont val="Tahoma"/>
            <family val="2"/>
          </rPr>
          <t>Paul-KMS:</t>
        </r>
        <r>
          <rPr>
            <sz val="9"/>
            <color indexed="81"/>
            <rFont val="Tahoma"/>
            <family val="2"/>
          </rPr>
          <t xml:space="preserve">
Source: ABMS_Monitoring_Data_Agroforestry_Version_5_VERRA.xlsc
"F11"-table</t>
        </r>
      </text>
    </comment>
    <comment ref="T44" authorId="1" shapeId="0" xr:uid="{D2600283-1788-4C6C-8D02-2A3BA21FF919}">
      <text>
        <r>
          <rPr>
            <b/>
            <sz val="9"/>
            <color indexed="81"/>
            <rFont val="Tahoma"/>
            <family val="2"/>
          </rPr>
          <t>Paul-KMS:</t>
        </r>
        <r>
          <rPr>
            <sz val="9"/>
            <color indexed="81"/>
            <rFont val="Tahoma"/>
            <family val="2"/>
          </rPr>
          <t xml:space="preserve">
0.5CM increase per year from 5th year onwards corresponds to approximately 1% increase of tree circumference which is widely used conservative estimate for tree growth.</t>
        </r>
      </text>
    </comment>
    <comment ref="U44" authorId="1" shapeId="0" xr:uid="{B9C43385-1AA8-40B9-8E12-19FB4CA5F8E0}">
      <text>
        <r>
          <rPr>
            <b/>
            <sz val="9"/>
            <color indexed="81"/>
            <rFont val="Tahoma"/>
            <family val="2"/>
          </rPr>
          <t>Paul-KMS:</t>
        </r>
        <r>
          <rPr>
            <sz val="9"/>
            <color indexed="81"/>
            <rFont val="Tahoma"/>
            <family val="2"/>
          </rPr>
          <t xml:space="preserve">
3.2 APPROACH 2: BIOMASS DENSITY BASED ON STAND TABLES
A key issue is the choice of the average diameter to represent the dbh class. For small dbh classes (10 cm or less), the mid-point of the class has been used (e.g., Brown et al. 1989) = 3.142.
Source : https://www.fao.org/4/W4095E/w4095e06.htm#:~:text=The%20first%20approach%20is%20based%20on%20the%20use,directly%20estimates%20biomass%20density%20using%20biomass%20regression%20equations.</t>
        </r>
      </text>
    </comment>
    <comment ref="V44" authorId="1" shapeId="0" xr:uid="{0C0A4E75-1ADC-444C-A0E2-2C9727183276}">
      <text>
        <r>
          <rPr>
            <b/>
            <sz val="9"/>
            <color indexed="81"/>
            <rFont val="Tahoma"/>
            <family val="2"/>
          </rPr>
          <t>Paul-KMS:</t>
        </r>
        <r>
          <rPr>
            <sz val="9"/>
            <color indexed="81"/>
            <rFont val="Tahoma"/>
            <family val="2"/>
          </rPr>
          <t xml:space="preserve">
Biomass volume is calculated using the allometric equation 3.2.4 for tropical forest biome based on Browns et al. (1989)14
Y = exp{-2.134+2.530*ln(D)}
Where,
Y biomass per tree in kg
D dbh in cm
Source : https://www.fao.org/4/W4095E/w4095e06.htm#:~:text=The%20first%20approach%20is%20based%20on%20the%20use,directly%20estimates%20biomass%20density%20using%20biomass%20regression%20equations.</t>
        </r>
      </text>
    </comment>
    <comment ref="Z44" authorId="1" shapeId="0" xr:uid="{D7AB081E-0D73-4897-86CC-1F07BD622567}">
      <text>
        <r>
          <rPr>
            <b/>
            <sz val="9"/>
            <color indexed="81"/>
            <rFont val="Tahoma"/>
            <family val="2"/>
          </rPr>
          <t>Paul-KMS:</t>
        </r>
        <r>
          <rPr>
            <sz val="9"/>
            <color indexed="81"/>
            <rFont val="Tahoma"/>
            <family val="2"/>
          </rPr>
          <t xml:space="preserve">
Value applied : 0.30
Justification : Based on scientific studies of common native species in India. Biomass Production and Carbon Sequestration Potential of Different Agroforestry Systems in India: A Critical Review 2022, 13(8), 1274
Source: https://doi.org/10.3390/f13081274
</t>
        </r>
      </text>
    </comment>
    <comment ref="AE44" authorId="1" shapeId="0" xr:uid="{0CE2320C-A0A8-4F2B-9101-65BE2A3B503B}">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AF44" authorId="1" shapeId="0" xr:uid="{9C0FD144-903C-4BAD-BCFD-809C906781A7}">
      <text>
        <r>
          <rPr>
            <b/>
            <sz val="9"/>
            <color indexed="81"/>
            <rFont val="Tahoma"/>
            <family val="2"/>
          </rPr>
          <t>Paul-KMS:</t>
        </r>
        <r>
          <rPr>
            <sz val="9"/>
            <color indexed="81"/>
            <rFont val="Tahoma"/>
            <family val="2"/>
          </rPr>
          <t xml:space="preserve">
Source: ABMS_Monitoring_Data_Agroforestry_Version_5_VERRA.xlsc
"E16"-table</t>
        </r>
      </text>
    </comment>
    <comment ref="AG44" authorId="1" shapeId="0" xr:uid="{0D4AAC25-18A2-405B-853B-9A77F204F11C}">
      <text>
        <r>
          <rPr>
            <b/>
            <sz val="9"/>
            <color indexed="81"/>
            <rFont val="Tahoma"/>
            <family val="2"/>
          </rPr>
          <t>Paul-KMS:</t>
        </r>
        <r>
          <rPr>
            <sz val="9"/>
            <color indexed="81"/>
            <rFont val="Tahoma"/>
            <family val="2"/>
          </rPr>
          <t xml:space="preserve">
Source: ABMS_Monitoring_Data_Agroforestry_Version_5_VERRA.xlsc
"F16"-table</t>
        </r>
      </text>
    </comment>
    <comment ref="AH44" authorId="1" shapeId="0" xr:uid="{6A151842-9BAD-4BBF-8F0F-993F771D4147}">
      <text>
        <r>
          <rPr>
            <b/>
            <sz val="9"/>
            <color indexed="81"/>
            <rFont val="Tahoma"/>
            <family val="2"/>
          </rPr>
          <t>Paul-KMS:</t>
        </r>
        <r>
          <rPr>
            <sz val="9"/>
            <color indexed="81"/>
            <rFont val="Tahoma"/>
            <family val="2"/>
          </rPr>
          <t xml:space="preserve">
0.5CM increase per year from 5th year onwards corresponds to approximately 1% increase of tree circumference which is widely used conservative estimate for tree growth.</t>
        </r>
      </text>
    </comment>
    <comment ref="AI44" authorId="1" shapeId="0" xr:uid="{678EE16E-C434-4469-9F1F-B6CB68D00D42}">
      <text>
        <r>
          <rPr>
            <b/>
            <sz val="9"/>
            <color indexed="81"/>
            <rFont val="Tahoma"/>
            <family val="2"/>
          </rPr>
          <t>Paul-KMS:</t>
        </r>
        <r>
          <rPr>
            <sz val="9"/>
            <color indexed="81"/>
            <rFont val="Tahoma"/>
            <family val="2"/>
          </rPr>
          <t xml:space="preserve">
3.2 APPROACH 2: BIOMASS DENSITY BASED ON STAND TABLES
A key issue is the choice of the average diameter to represent the dbh class. For small dbh classes (10 cm or less), the mid-point of the class has been used (e.g., Brown et al. 1989) = 3.142.
Source : https://www.fao.org/4/W4095E/w4095e06.htm#:~:text=The%20first%20approach%20is%20based%20on%20the%20use,directly%20estimates%20biomass%20density%20using%20biomass%20regression%20equations.</t>
        </r>
      </text>
    </comment>
    <comment ref="AJ44" authorId="1" shapeId="0" xr:uid="{84C37B2E-A048-4022-8541-3E4F05470EA7}">
      <text>
        <r>
          <rPr>
            <b/>
            <sz val="9"/>
            <color indexed="81"/>
            <rFont val="Tahoma"/>
            <family val="2"/>
          </rPr>
          <t>Paul-KMS:</t>
        </r>
        <r>
          <rPr>
            <sz val="9"/>
            <color indexed="81"/>
            <rFont val="Tahoma"/>
            <family val="2"/>
          </rPr>
          <t xml:space="preserve">
Biomass volume is calculated using the allometric equation 3.2.4 for tropical forest biome based on Browns et al. (1989)14
Y = exp{-2.134+2.530*ln(D)}
Where,
Y biomass per tree in kg
D dbh in cm
Source : https://www.fao.org/4/W4095E/w4095e06.htm#:~:text=The%20first%20approach%20is%20based%20on%20the%20use,directly%20estimates%20biomass%20density%20using%20biomass%20regression%20equations.</t>
        </r>
      </text>
    </comment>
    <comment ref="AN44" authorId="1" shapeId="0" xr:uid="{AD63BE21-B522-43BA-81EC-140466B81E2B}">
      <text>
        <r>
          <rPr>
            <b/>
            <sz val="9"/>
            <color indexed="81"/>
            <rFont val="Tahoma"/>
            <family val="2"/>
          </rPr>
          <t>Paul-KMS:</t>
        </r>
        <r>
          <rPr>
            <sz val="9"/>
            <color indexed="81"/>
            <rFont val="Tahoma"/>
            <family val="2"/>
          </rPr>
          <t xml:space="preserve">
Value applied : 0.30
Justification : Based on scientific studies of common native species in India. Biomass Production and Carbon Sequestration Potential of Different Agroforestry Systems in India: A Critical Review 2022, 13(8), 1274
Source: https://doi.org/10.3390/f13081274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Chaitra-KMS</author>
    <author>Paul-KMS</author>
  </authors>
  <commentList>
    <comment ref="B4" authorId="0" shapeId="0" xr:uid="{EADCC861-3D65-4BDC-8EE7-B7E30BA3F1E3}">
      <text>
        <r>
          <rPr>
            <b/>
            <sz val="9"/>
            <color indexed="81"/>
            <rFont val="Tahoma"/>
            <family val="2"/>
          </rPr>
          <t>Paul-KMS:</t>
        </r>
        <r>
          <rPr>
            <sz val="9"/>
            <color indexed="81"/>
            <rFont val="Tahoma"/>
            <family val="2"/>
          </rPr>
          <t xml:space="preserve">
CDM A/R tool for "Estimation of Direct Nitrous Oxide Emissions from Nitrogen Fertilization
N_2 O_(direct-N,t)=(F_(SN,t)+F_(ON,t))×〖EF〗_1×〖MW〗_(N_2 O)×〖GWP〗_(N_2 O)
 By applying above equation
N2Odirect-N,t =7.965*0.01*(44/28) *310 =0.38 tco2e
</t>
        </r>
      </text>
    </comment>
    <comment ref="F4" authorId="1" shapeId="0" xr:uid="{3A31A8B1-0515-443D-BA4E-4C096D312197}">
      <text>
        <r>
          <rPr>
            <b/>
            <sz val="9"/>
            <color indexed="81"/>
            <rFont val="Tahoma"/>
            <family val="2"/>
          </rPr>
          <t>Pavithra-KMS:
Based on PP's input (2016 baseline survey), the adoption rate for the first monitoring period (2017-2022) is considered to be 90%, with the adoption rate for the subsequent years set at 100%</t>
        </r>
      </text>
    </comment>
    <comment ref="H4" authorId="1" shapeId="0" xr:uid="{62AC3752-33D2-4428-AF73-A4A26E3B958C}">
      <text>
        <r>
          <rPr>
            <b/>
            <sz val="9"/>
            <color indexed="81"/>
            <rFont val="Tahoma"/>
            <family val="2"/>
          </rPr>
          <t>Paul-KMS:</t>
        </r>
        <r>
          <rPr>
            <sz val="9"/>
            <color indexed="81"/>
            <rFont val="Tahoma"/>
            <family val="2"/>
          </rPr>
          <t xml:space="preserve">
As there is no baseline established for the use of N-fixing species, , baseline emissions changes due to the use of N- fixing species are considered as zero, therefore:</t>
        </r>
      </text>
    </comment>
    <comment ref="I4" authorId="1" shapeId="0" xr:uid="{04999BEB-09FD-4C02-AAF9-1E2AB600CD95}">
      <text>
        <r>
          <rPr>
            <b/>
            <sz val="9"/>
            <color indexed="81"/>
            <rFont val="Tahoma"/>
            <family val="2"/>
          </rPr>
          <t>Paul-KMS:</t>
        </r>
        <r>
          <rPr>
            <sz val="9"/>
            <color indexed="81"/>
            <rFont val="Tahoma"/>
            <family val="2"/>
          </rPr>
          <t xml:space="preserve">
The project is promoting the cessation of biomass burning and thus emissions due to this practice are expected to decrease within the project as compared to the baseline emissions. Hence the emissions are based on the total crop residue subjected to burning and calculated by use of the emission factor as mandated by the methodology.  The tool Estimation of non-CO2 emissions from the burning of crop residues (Section VI.3 of the methodology) is applied to estimate the emissions from N2O and CH4. However, the project is not claiming emission reductions due to biomass burning and hence this is not monitored. </t>
        </r>
      </text>
    </comment>
    <comment ref="J4" authorId="1" shapeId="0" xr:uid="{9CDCE3A9-6394-445D-A2E3-DE1E568C3EEA}">
      <text>
        <r>
          <rPr>
            <b/>
            <sz val="9"/>
            <color indexed="81"/>
            <rFont val="Tahoma"/>
            <family val="2"/>
          </rPr>
          <t>Paul-KMS:</t>
        </r>
        <r>
          <rPr>
            <sz val="9"/>
            <color indexed="81"/>
            <rFont val="Tahoma"/>
            <family val="2"/>
          </rPr>
          <t xml:space="preserve">
The baseline removals from woody perennials, BRWP t are calculated using the Tool Estimation of carbon stocks and change in carbon stocks of trees and shrubs in A/R CDM project activities version 4.2.
Baseline trees are considered to be non-existent as the project is primarily a Cropland. Only new trees planted by the project will be considered in the project, hence the removals from existing woody perennials conservatively assumed to be zero.
</t>
        </r>
      </text>
    </comment>
    <comment ref="K4" authorId="1" shapeId="0" xr:uid="{A6EC8EB5-188F-4A71-844A-12EC3FFB18DA}">
      <text>
        <r>
          <rPr>
            <b/>
            <sz val="9"/>
            <color indexed="81"/>
            <rFont val="Tahoma"/>
            <family val="2"/>
          </rPr>
          <t>Paul-KMS:</t>
        </r>
        <r>
          <rPr>
            <sz val="9"/>
            <color indexed="81"/>
            <rFont val="Tahoma"/>
            <family val="2"/>
          </rPr>
          <t xml:space="preserve">
As per the tool ‘Estimation of emissions from combustion the use of fossil fuels in agricultural management’ (Section VI.2 of the methodology) the baseline emission due to the use of fossil fuels which is insignificant compared to the project net anthropogenic GHG removals. Hence, these emissions are found to be insignificant and are assumed be zero in the baseline scenario. </t>
        </r>
      </text>
    </comment>
    <comment ref="L4" authorId="1" shapeId="0" xr:uid="{B1AD9F33-2371-4C48-ADC4-D617B476E277}">
      <text>
        <r>
          <rPr>
            <b/>
            <sz val="9"/>
            <color indexed="81"/>
            <rFont val="Tahoma"/>
            <family val="2"/>
          </rPr>
          <t>Paul-KMS:</t>
        </r>
        <r>
          <rPr>
            <sz val="9"/>
            <color indexed="81"/>
            <rFont val="Tahoma"/>
            <family val="2"/>
          </rPr>
          <t xml:space="preserve">
The degradation assessment outlined in Section 3.2 also demonstrates that the project areas “are constantly degraded/ degrading”. Hence, SOC in the baseline can be expected to decrease or at most remain in a steady state. As per VCS SALM Methodology, the applicability conditions limit the project to lands that are under agricultural pressure and are degrading. It can be conservatively assumed that the baseline removals due to changes in SOC are zero.</t>
        </r>
      </text>
    </comment>
    <comment ref="O4" authorId="1" shapeId="0" xr:uid="{6B22598F-3895-46DA-BCCC-0DF9D64C3D22}">
      <text>
        <r>
          <rPr>
            <b/>
            <sz val="9"/>
            <color indexed="81"/>
            <rFont val="Tahoma"/>
            <family val="2"/>
          </rPr>
          <t>Paul-KMS:</t>
        </r>
        <r>
          <rPr>
            <sz val="9"/>
            <color indexed="81"/>
            <rFont val="Tahoma"/>
            <family val="2"/>
          </rPr>
          <t xml:space="preserve">
The area calculated for PEFt is 51,764 hectares</t>
        </r>
      </text>
    </comment>
    <comment ref="P4" authorId="1" shapeId="0" xr:uid="{EA2B23D6-02B9-47D0-A928-0AB9CF468700}">
      <text>
        <r>
          <rPr>
            <b/>
            <sz val="9"/>
            <color indexed="81"/>
            <rFont val="Tahoma"/>
            <family val="2"/>
          </rPr>
          <t>Paul-KMS:</t>
        </r>
        <r>
          <rPr>
            <sz val="9"/>
            <color indexed="81"/>
            <rFont val="Tahoma"/>
            <family val="2"/>
          </rPr>
          <t xml:space="preserve">
Estimate of project emissions due to biomass burning in year t, t CO2e: As the project activity does not consider any emission reductions from avoidance of biomass burning, it is not applicable. 
Therefore, for ex-ante estimation, it is accounted as zero. 
</t>
        </r>
      </text>
    </comment>
    <comment ref="Q4" authorId="1" shapeId="0" xr:uid="{CFD3B97B-69BC-44B1-BA68-CE4DA670991C}">
      <text>
        <r>
          <rPr>
            <b/>
            <sz val="9"/>
            <color indexed="81"/>
            <rFont val="Tahoma"/>
            <family val="2"/>
          </rPr>
          <t>Paul-KMS:</t>
        </r>
        <r>
          <rPr>
            <sz val="9"/>
            <color indexed="81"/>
            <rFont val="Tahoma"/>
            <family val="2"/>
          </rPr>
          <t xml:space="preserve">
Estimate of project emissions due to biomass burning in year t, t CO2e: As the project activity does not consider any emission reductions from avoidance of biomass burning, it is not applicable. 
Therefore, for ex-ante estimation, it is accounted as zero. 
</t>
        </r>
      </text>
    </comment>
    <comment ref="R4" authorId="1" shapeId="0" xr:uid="{6C94362F-2406-4A66-AA6A-A0D38CA9C4F1}">
      <text>
        <r>
          <rPr>
            <b/>
            <sz val="9"/>
            <color indexed="81"/>
            <rFont val="Tahoma"/>
            <family val="2"/>
          </rPr>
          <t>Paul-KMS:</t>
        </r>
        <r>
          <rPr>
            <sz val="9"/>
            <color indexed="81"/>
            <rFont val="Tahoma"/>
            <family val="2"/>
          </rPr>
          <t xml:space="preserve">
The area calculated for PRWPt is 5258 hectares. 0.5CM increase per year from 5th year onwards corresponds to approximately 1% increase of tree circumference which is widely used conservative estimate for tree growth.
Source 
1.https://www.lfwseq.org.au/how-to-age-trees/
2.https://www.researchgate.net/publication/330333183_Growth_and_productivity_of_Tectona_grandis_Linn_f_in_plantations_and_farmlands_in_coastal_zone_of_Karnataka_India
3. https://www.researchgate.net/publication/350181882_Short-term_girth_increment_and_biomass_changes_in_tree_species_of_Javadhu_hills_Eastern_Ghats_Tamil_Nadu_India
A 0.5 cm diameter increase → circumference increase = π × 0.5 ≈ 1.57 cm/yr.
If a tree’s circumference (GBH) ≈ 157 cm (DBH ≈ 50 cm), then 1.57 cm is 1% of circumference.
Many Indian studies report girth or diameter increments in the range 0.3–1.0 cm/yr depending on species, age and site; so using 0.5 cm/yr as a conservative, widely-used assumption is supported by the regional literature above</t>
        </r>
      </text>
    </comment>
    <comment ref="S4" authorId="1" shapeId="0" xr:uid="{3104C28A-7D13-4E35-9B9F-66A4989094CD}">
      <text>
        <r>
          <rPr>
            <b/>
            <sz val="9"/>
            <color indexed="81"/>
            <rFont val="Tahoma"/>
            <family val="2"/>
          </rPr>
          <t>Paul-KMS:</t>
        </r>
        <r>
          <rPr>
            <sz val="9"/>
            <color indexed="81"/>
            <rFont val="Tahoma"/>
            <family val="2"/>
          </rPr>
          <t xml:space="preserve">
Estimate of project emissions due to burning of fossil fuels for agricultural management in year t, t CO2e: As there is no net increase in the use of fossil fuels used for farm machinery during project implementation, it is not considered. The evidence has been submitted to VVB.
Therefore, for ex-ante estimation, it is accounted as zero.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Paul-KMS</author>
  </authors>
  <commentList>
    <comment ref="K1" authorId="0" shapeId="0" xr:uid="{67DE76DB-53DB-47C3-BFAF-B01B90270B7C}">
      <text>
        <r>
          <rPr>
            <b/>
            <sz val="9"/>
            <color indexed="81"/>
            <rFont val="Tahoma"/>
            <family val="2"/>
          </rPr>
          <t>Paul-KMS:</t>
        </r>
        <r>
          <rPr>
            <sz val="9"/>
            <color indexed="81"/>
            <rFont val="Tahoma"/>
            <family val="2"/>
          </rPr>
          <t xml:space="preserve">
As per monitoring data inventory of eligible trees was considered at end of the 5th year. Hence to reflect this project removals are not considered upto 2021.</t>
        </r>
      </text>
    </comment>
    <comment ref="P1" authorId="0" shapeId="0" xr:uid="{C6F0EA9A-F10E-4D6D-BD24-BA1233584AB3}">
      <text>
        <r>
          <rPr>
            <b/>
            <sz val="9"/>
            <color indexed="81"/>
            <rFont val="Tahoma"/>
            <family val="2"/>
          </rPr>
          <t>Paul-KMS:</t>
        </r>
        <r>
          <rPr>
            <sz val="9"/>
            <color indexed="81"/>
            <rFont val="Tahoma"/>
            <family val="2"/>
          </rPr>
          <t xml:space="preserve">
The PRSt Max and PRSt Min represent the upper and lower bounds of carbon removals due to SOC enhancement under project conditions. 
The calculated uncertainty is less than 15% in Tropical Dry and Tropical wet, but in Tropical moist is 20% so deduction is applied.
Refer - Uncertanity worksheet</t>
        </r>
      </text>
    </comment>
    <comment ref="C2" authorId="0" shapeId="0" xr:uid="{6CC96440-946C-40A2-BD2C-79B070DA42E7}">
      <text>
        <r>
          <rPr>
            <b/>
            <sz val="9"/>
            <color indexed="81"/>
            <rFont val="Tahoma"/>
            <family val="2"/>
          </rPr>
          <t>Paul-KMS:</t>
        </r>
        <r>
          <rPr>
            <sz val="9"/>
            <color indexed="81"/>
            <rFont val="Tahoma"/>
            <family val="2"/>
          </rPr>
          <t xml:space="preserve">
Source:
Folder -  ER aggregate sheet
Excel - VM0017-Master ER aggregate 2017 rev 6
Sheet - "Fertiliser"
Cell No. - "E15"</t>
        </r>
      </text>
    </comment>
    <comment ref="G2" authorId="0" shapeId="0" xr:uid="{E659FB14-AE1C-41E8-8E8C-DEF3DC1D69DC}">
      <text>
        <r>
          <rPr>
            <b/>
            <sz val="9"/>
            <color indexed="81"/>
            <rFont val="Tahoma"/>
            <family val="2"/>
          </rPr>
          <t>Paul-KMS:</t>
        </r>
        <r>
          <rPr>
            <sz val="9"/>
            <color indexed="81"/>
            <rFont val="Tahoma"/>
            <family val="2"/>
          </rPr>
          <t xml:space="preserve">
Source:
Folder -  ER aggregate sheet
Excel - VM0017-Master ER aggregate 2017 rev 6
Sheet - "Fertiliser"
Cell No. - "E23"</t>
        </r>
      </text>
    </comment>
    <comment ref="O2" authorId="0" shapeId="0" xr:uid="{64536224-9AE5-427F-9ECC-8CFBD4301D1D}">
      <text>
        <r>
          <rPr>
            <b/>
            <sz val="9"/>
            <color indexed="81"/>
            <rFont val="Tahoma"/>
            <charset val="1"/>
          </rPr>
          <t>Paul-KMS:</t>
        </r>
        <r>
          <rPr>
            <sz val="9"/>
            <color indexed="81"/>
            <rFont val="Tahoma"/>
            <charset val="1"/>
          </rPr>
          <t xml:space="preserve">
The year 2017 is not considered for SOC calculations as it marks as basline of the project(2016-2017) According to VM0017 methodology, the calculation of SOC stock changes begins from the first full year following the start of project activities. Hence, the SOC change estimations commence from 2019 onwards (Δt = 1), ensuring accurate reflection of post-intervention impact</t>
        </r>
      </text>
    </comment>
    <comment ref="C3" authorId="0" shapeId="0" xr:uid="{BA47AB9B-2D3C-4CEC-9CA1-E83C64453AAE}">
      <text>
        <r>
          <rPr>
            <b/>
            <sz val="9"/>
            <color indexed="81"/>
            <rFont val="Tahoma"/>
            <family val="2"/>
          </rPr>
          <t>Paul-KMS:</t>
        </r>
        <r>
          <rPr>
            <sz val="9"/>
            <color indexed="81"/>
            <rFont val="Tahoma"/>
            <family val="2"/>
          </rPr>
          <t xml:space="preserve">
Source:
Folder -  ER aggregate sheet
Excel - VM0017-Master ER aggregate 2018 rev 6
Sheet - "Fertiliser"
Cell No. - "E15"</t>
        </r>
      </text>
    </comment>
    <comment ref="G3" authorId="0" shapeId="0" xr:uid="{21B9B985-6765-4F9F-953D-867B6EEC8D86}">
      <text>
        <r>
          <rPr>
            <b/>
            <sz val="9"/>
            <color indexed="81"/>
            <rFont val="Tahoma"/>
            <family val="2"/>
          </rPr>
          <t>Paul-KMS:</t>
        </r>
        <r>
          <rPr>
            <sz val="9"/>
            <color indexed="81"/>
            <rFont val="Tahoma"/>
            <family val="2"/>
          </rPr>
          <t xml:space="preserve">
Source:
Folder -  ER aggregate sheet
Excel - VM0017-Master ER aggregate 2018 rev 6
Sheet - "Fertiliser"
Cell No. - "E23"</t>
        </r>
      </text>
    </comment>
    <comment ref="O3" authorId="0" shapeId="0" xr:uid="{AC4626B5-FA87-44B3-B136-5A48AF215A6A}">
      <text>
        <r>
          <rPr>
            <b/>
            <sz val="9"/>
            <color indexed="81"/>
            <rFont val="Tahoma"/>
            <charset val="1"/>
          </rPr>
          <t>Paul-KMS:</t>
        </r>
        <r>
          <rPr>
            <sz val="9"/>
            <color indexed="81"/>
            <rFont val="Tahoma"/>
            <charset val="1"/>
          </rPr>
          <t xml:space="preserve">
The year 2018 is not considered for SOC calculations as it marks the beginning of the project intervention. According to VM0017 methodology, the calculation of SOC stock changes begins from the first full year following the start of project activities. Hence, the SOC change estimations commence from 2019 onwards (Δt = 1), ensuring accurate reflection of post-intervention impact</t>
        </r>
      </text>
    </comment>
    <comment ref="C4" authorId="0" shapeId="0" xr:uid="{C66A8A5B-F87B-4F36-9377-9927FB29F3BC}">
      <text>
        <r>
          <rPr>
            <b/>
            <sz val="9"/>
            <color indexed="81"/>
            <rFont val="Tahoma"/>
            <family val="2"/>
          </rPr>
          <t>Paul-KMS:</t>
        </r>
        <r>
          <rPr>
            <sz val="9"/>
            <color indexed="81"/>
            <rFont val="Tahoma"/>
            <family val="2"/>
          </rPr>
          <t xml:space="preserve">
Source:
Folder -  ER aggregate sheet
Excel - VM0017-Master ER aggregate 2019 rev 6
Sheet - "Fertiliser"
Cell No. - "E15"</t>
        </r>
      </text>
    </comment>
    <comment ref="G4" authorId="0" shapeId="0" xr:uid="{A026FB7A-1B10-4910-B4E3-90B10F47D7C9}">
      <text>
        <r>
          <rPr>
            <b/>
            <sz val="9"/>
            <color indexed="81"/>
            <rFont val="Tahoma"/>
            <family val="2"/>
          </rPr>
          <t>Paul-KMS:</t>
        </r>
        <r>
          <rPr>
            <sz val="9"/>
            <color indexed="81"/>
            <rFont val="Tahoma"/>
            <family val="2"/>
          </rPr>
          <t xml:space="preserve">
Source:
Folder -  ER aggregate sheet
Excel - VM0017-Master ER aggregate 2019 rev 6
Sheet - "Fertiliser"
Cell No. - "E23"</t>
        </r>
      </text>
    </comment>
    <comment ref="O4" authorId="0" shapeId="0" xr:uid="{17EC0601-D668-404B-BD0D-92D9E70BE7FC}">
      <text>
        <r>
          <rPr>
            <b/>
            <sz val="9"/>
            <color indexed="81"/>
            <rFont val="Tahoma"/>
            <family val="2"/>
          </rPr>
          <t>Paul-KMS:</t>
        </r>
        <r>
          <rPr>
            <sz val="9"/>
            <color indexed="81"/>
            <rFont val="Tahoma"/>
            <family val="2"/>
          </rPr>
          <t xml:space="preserve">
Folder - 4_ER aggregate sheet
File Name - VM0017-Master ER aggregate 2019 rev 6.xlxs
Sheet - SOC
Cell No - "E35"</t>
        </r>
      </text>
    </comment>
    <comment ref="C5" authorId="0" shapeId="0" xr:uid="{C54FD9D2-A3B3-45C1-9BAD-ACBF3EF8A65F}">
      <text>
        <r>
          <rPr>
            <b/>
            <sz val="9"/>
            <color indexed="81"/>
            <rFont val="Tahoma"/>
            <family val="2"/>
          </rPr>
          <t>Paul-KMS:</t>
        </r>
        <r>
          <rPr>
            <sz val="9"/>
            <color indexed="81"/>
            <rFont val="Tahoma"/>
            <family val="2"/>
          </rPr>
          <t xml:space="preserve">
Source:
Folder -  ER aggregate sheet
Excel - VM0017-Master ER aggregate 2020 rev 6
Sheet - "Fertiliser"
Cell No. - "E15"</t>
        </r>
      </text>
    </comment>
    <comment ref="G5" authorId="0" shapeId="0" xr:uid="{CD42A1E0-321B-434F-BC43-1147BA1B27E2}">
      <text>
        <r>
          <rPr>
            <b/>
            <sz val="9"/>
            <color indexed="81"/>
            <rFont val="Tahoma"/>
            <family val="2"/>
          </rPr>
          <t>Paul-KMS:</t>
        </r>
        <r>
          <rPr>
            <sz val="9"/>
            <color indexed="81"/>
            <rFont val="Tahoma"/>
            <family val="2"/>
          </rPr>
          <t xml:space="preserve">
Source:
Folder -  ER aggregate sheet
Excel - VM0017-Master ER aggregate 2020 rev 6
Sheet - "Fertiliser"
Cell No. - "E23"</t>
        </r>
      </text>
    </comment>
    <comment ref="O5" authorId="0" shapeId="0" xr:uid="{3786514C-F10D-4ED5-9600-5E9C79E46042}">
      <text>
        <r>
          <rPr>
            <b/>
            <sz val="9"/>
            <color indexed="81"/>
            <rFont val="Tahoma"/>
            <family val="2"/>
          </rPr>
          <t>Paul-KMS:</t>
        </r>
        <r>
          <rPr>
            <sz val="9"/>
            <color indexed="81"/>
            <rFont val="Tahoma"/>
            <family val="2"/>
          </rPr>
          <t xml:space="preserve">
Folder - 4_ER aggregate sheet
File Name - VM0017-Master ER aggregate 2020 rev 6.xlxs
Sheet - SOC
Cell No - "E36"</t>
        </r>
      </text>
    </comment>
    <comment ref="C6" authorId="0" shapeId="0" xr:uid="{841D557C-1804-420D-BDA5-F537D72F2684}">
      <text>
        <r>
          <rPr>
            <b/>
            <sz val="9"/>
            <color indexed="81"/>
            <rFont val="Tahoma"/>
            <family val="2"/>
          </rPr>
          <t>Paul-KMS:</t>
        </r>
        <r>
          <rPr>
            <sz val="9"/>
            <color indexed="81"/>
            <rFont val="Tahoma"/>
            <family val="2"/>
          </rPr>
          <t xml:space="preserve">
Source:
Folder -  ER aggregate sheet
Excel - VM0017-Master ER aggregate 2021 rev 6
Sheet - "Fertiliser"
Cell No. - "E15"</t>
        </r>
      </text>
    </comment>
    <comment ref="G6" authorId="0" shapeId="0" xr:uid="{792C8929-87E2-42FE-B622-1B8BA0DD0629}">
      <text>
        <r>
          <rPr>
            <b/>
            <sz val="9"/>
            <color indexed="81"/>
            <rFont val="Tahoma"/>
            <family val="2"/>
          </rPr>
          <t>Paul-KMS:</t>
        </r>
        <r>
          <rPr>
            <sz val="9"/>
            <color indexed="81"/>
            <rFont val="Tahoma"/>
            <family val="2"/>
          </rPr>
          <t xml:space="preserve">
Source:
Folder -  ER aggregate sheet
Excel - VM0017-Master ER aggregate 2020 rev 6
Sheet - "Fertiliser"
Cell No. - "E23"</t>
        </r>
      </text>
    </comment>
    <comment ref="O6" authorId="0" shapeId="0" xr:uid="{D9DB6C50-6ACD-4AA9-ADC5-D35CB671BF81}">
      <text>
        <r>
          <rPr>
            <b/>
            <sz val="9"/>
            <color indexed="81"/>
            <rFont val="Tahoma"/>
            <family val="2"/>
          </rPr>
          <t>Paul-KMS:</t>
        </r>
        <r>
          <rPr>
            <sz val="9"/>
            <color indexed="81"/>
            <rFont val="Tahoma"/>
            <family val="2"/>
          </rPr>
          <t xml:space="preserve">
Folder - 4_ER aggregate sheet
File Name - VM0017-Master ER aggregate 2021 rev 6.xlxs
Sheet - SOC
Cell No - "E36"</t>
        </r>
      </text>
    </comment>
    <comment ref="C7" authorId="0" shapeId="0" xr:uid="{5E9247DE-BB7F-4122-8A7B-AF160F23A07B}">
      <text>
        <r>
          <rPr>
            <b/>
            <sz val="9"/>
            <color indexed="81"/>
            <rFont val="Tahoma"/>
            <family val="2"/>
          </rPr>
          <t>Paul-KMS:</t>
        </r>
        <r>
          <rPr>
            <sz val="9"/>
            <color indexed="81"/>
            <rFont val="Tahoma"/>
            <family val="2"/>
          </rPr>
          <t xml:space="preserve">
Source:
Folder -  ER aggregate sheet
Excel - VM0017-Master ER aggregate 2022 rev 6
Sheet - "Fertiliser"
Cell No. - "E15"</t>
        </r>
      </text>
    </comment>
    <comment ref="G7" authorId="0" shapeId="0" xr:uid="{4611A85B-FC3C-495C-A645-866BC4046D0F}">
      <text>
        <r>
          <rPr>
            <b/>
            <sz val="9"/>
            <color indexed="81"/>
            <rFont val="Tahoma"/>
            <family val="2"/>
          </rPr>
          <t>Paul-KMS:</t>
        </r>
        <r>
          <rPr>
            <sz val="9"/>
            <color indexed="81"/>
            <rFont val="Tahoma"/>
            <family val="2"/>
          </rPr>
          <t xml:space="preserve">
Source:
Folder -  ER aggregate sheet
Excel - VM0017-Master ER aggregate 2022 rev 6
Sheet - "Fertiliser"
Cell No. - "E23"</t>
        </r>
      </text>
    </comment>
    <comment ref="K7" authorId="0" shapeId="0" xr:uid="{0F4AAE0E-9567-4C00-BE4D-B2BED4EF5798}">
      <text>
        <r>
          <rPr>
            <b/>
            <sz val="9"/>
            <color indexed="81"/>
            <rFont val="Tahoma"/>
            <family val="2"/>
          </rPr>
          <t>Paul-KMS:</t>
        </r>
        <r>
          <rPr>
            <sz val="9"/>
            <color indexed="81"/>
            <rFont val="Tahoma"/>
            <family val="2"/>
          </rPr>
          <t xml:space="preserve">
Source:
Folder -  ER aggregate sheet
Excel - VM0017-Master ER aggregate 2022 rev 6
Sheet - "Woody perennials"
Cell No. - "E5"&amp;"E6"</t>
        </r>
      </text>
    </comment>
    <comment ref="O7" authorId="0" shapeId="0" xr:uid="{D3B1C40E-B067-4E3E-AB0D-F532D68633F4}">
      <text>
        <r>
          <rPr>
            <b/>
            <sz val="9"/>
            <color indexed="81"/>
            <rFont val="Tahoma"/>
            <family val="2"/>
          </rPr>
          <t>Paul-KMS:</t>
        </r>
        <r>
          <rPr>
            <sz val="9"/>
            <color indexed="81"/>
            <rFont val="Tahoma"/>
            <family val="2"/>
          </rPr>
          <t xml:space="preserve">
Folder - 4_ER aggregate sheet
File Name - VM0017-Master ER aggregate 2022 rev 6.xlxs
Sheet - SOC
Cell No - "E37"</t>
        </r>
      </text>
    </comment>
    <comment ref="G33" authorId="0" shapeId="0" xr:uid="{B75881F3-7A8F-4069-84E5-5172317B63BA}">
      <text>
        <r>
          <rPr>
            <b/>
            <sz val="9"/>
            <color indexed="81"/>
            <rFont val="Tahoma"/>
            <family val="2"/>
          </rPr>
          <t>Paul-KMS:</t>
        </r>
        <r>
          <rPr>
            <sz val="9"/>
            <color indexed="81"/>
            <rFont val="Tahoma"/>
            <family val="2"/>
          </rPr>
          <t xml:space="preserve">
Leakage is not applicable for this project as monitored during the verification period. The land is being used for cultivation of crops. Hence there is no shift in activities viz., grazing, fuel wood collection for cooking etc.
The methodology further states that If the ABMS survey data show that 10% or fewer project households use non-renewable biomass from outside the project or fossil fuels to replace the biomass diverted to agricultural fields, then the leakage is considered insignificant and ignored. In the project, there is no diversion of the biomass as the crop residues which were earlier burnt are recycled back to the soil to increase the organic content. This was verified from the survey data and from periodic interviews with the farmers. Hence leakage is considered zero.</t>
        </r>
      </text>
    </comment>
    <comment ref="I44" authorId="0" shapeId="0" xr:uid="{F2BA30A8-1D81-4872-BB51-47DFE28ACD7C}">
      <text>
        <r>
          <rPr>
            <b/>
            <sz val="9"/>
            <color indexed="81"/>
            <rFont val="Tahoma"/>
            <family val="2"/>
          </rPr>
          <t>Paul-KMS:</t>
        </r>
        <r>
          <rPr>
            <sz val="9"/>
            <color indexed="81"/>
            <rFont val="Tahoma"/>
            <family val="2"/>
          </rPr>
          <t xml:space="preserve">
Source:VCS-Risk-Report-Calculation-Tool-v4.0 SALM REV 2 VERRA resub.xlsx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Paul-KMS</author>
    <author>Chaitra-KMS</author>
  </authors>
  <commentList>
    <comment ref="N3" authorId="0" shapeId="0" xr:uid="{AC97A642-192D-4F67-97FC-686F40BDEC15}">
      <text>
        <r>
          <rPr>
            <b/>
            <sz val="9"/>
            <color indexed="81"/>
            <rFont val="Tahoma"/>
            <family val="2"/>
          </rPr>
          <t>Paul-KMS:</t>
        </r>
        <r>
          <rPr>
            <sz val="9"/>
            <color indexed="81"/>
            <rFont val="Tahoma"/>
            <family val="2"/>
          </rPr>
          <t xml:space="preserve">
The PRSt Max and PRSt Min represent the upper and lower bounds of carbon removals due to SOC enhancement under project conditions. 
The calculated uncertainty is less than 15%, so no deduction is applied for tropical dry zone</t>
        </r>
      </text>
    </comment>
    <comment ref="D6" authorId="1" shapeId="0" xr:uid="{175B31B2-F0A3-4BDB-8485-6774F260BAF8}">
      <text>
        <r>
          <rPr>
            <b/>
            <sz val="9"/>
            <color indexed="81"/>
            <rFont val="Tahoma"/>
            <family val="2"/>
          </rPr>
          <t>Chaitra-KMS:</t>
        </r>
        <r>
          <rPr>
            <sz val="9"/>
            <color indexed="81"/>
            <rFont val="Tahoma"/>
            <family val="2"/>
          </rPr>
          <t xml:space="preserve">
Source:
Folder -  ER aggregate sheet
Excel - VM0017-Master ER aggregate 2019 rev 6
Sheet - "SOC"
Cell No. - "E33"</t>
        </r>
      </text>
    </comment>
    <comment ref="E6" authorId="0" shapeId="0" xr:uid="{C64C25BA-E8F4-4C9D-8AB5-FC85EB3261F6}">
      <text>
        <r>
          <rPr>
            <b/>
            <sz val="9"/>
            <color indexed="81"/>
            <rFont val="Tahoma"/>
            <charset val="1"/>
          </rPr>
          <t>Paul-KMS:</t>
        </r>
        <r>
          <rPr>
            <sz val="9"/>
            <color indexed="81"/>
            <rFont val="Tahoma"/>
            <charset val="1"/>
          </rPr>
          <t xml:space="preserve">
Source
Folder- Ex-ante, Ex-post_ER_Sheet
Excel file - PRSmax_PRSmin.xlsx
Worksheet - PRSt_max
Cell - "U8"</t>
        </r>
      </text>
    </comment>
    <comment ref="F6" authorId="0" shapeId="0" xr:uid="{8CFC851E-EF02-4BB7-A74D-389CCA6E5B31}">
      <text>
        <r>
          <rPr>
            <b/>
            <sz val="9"/>
            <color indexed="81"/>
            <rFont val="Tahoma"/>
            <charset val="1"/>
          </rPr>
          <t>Paul-KMS:</t>
        </r>
        <r>
          <rPr>
            <sz val="9"/>
            <color indexed="81"/>
            <rFont val="Tahoma"/>
            <charset val="1"/>
          </rPr>
          <t xml:space="preserve">
Source
Folder- Ex-ante, Ex-post_ER_Sheet
Excel file - PRSmax_PRSmin.xlsx
Worksheet - PRSt_min
Cell - "U8"</t>
        </r>
      </text>
    </comment>
    <comment ref="K6" authorId="1" shapeId="0" xr:uid="{2C138C42-1FF7-4241-AAEE-F91D2B20D6E8}">
      <text>
        <r>
          <rPr>
            <b/>
            <sz val="9"/>
            <color indexed="81"/>
            <rFont val="Tahoma"/>
            <family val="2"/>
          </rPr>
          <t>Chaitra-KMS:</t>
        </r>
        <r>
          <rPr>
            <sz val="9"/>
            <color indexed="81"/>
            <rFont val="Tahoma"/>
            <family val="2"/>
          </rPr>
          <t xml:space="preserve">
Source:
Folder -  ER aggregate sheet
Excel - VM0017-Master ER aggregate 2019 rev 6
Sheet - "SOC"
Cell No. - "E33"</t>
        </r>
      </text>
    </comment>
    <comment ref="R6" authorId="1" shapeId="0" xr:uid="{07D0F22F-91E9-401B-95D8-622702CAB0F3}">
      <text>
        <r>
          <rPr>
            <b/>
            <sz val="9"/>
            <color indexed="81"/>
            <rFont val="Tahoma"/>
            <family val="2"/>
          </rPr>
          <t>Chaitra-KMS:</t>
        </r>
        <r>
          <rPr>
            <sz val="9"/>
            <color indexed="81"/>
            <rFont val="Tahoma"/>
            <family val="2"/>
          </rPr>
          <t xml:space="preserve">
Source:
Folder -  ER aggregate sheet
Excel - VM0017-Master ER aggregate 2019 rev 6
Sheet - "SOC"
Cell No. - "E33"</t>
        </r>
      </text>
    </comment>
    <comment ref="D7" authorId="1" shapeId="0" xr:uid="{EE8119B0-6CDC-459E-8375-927FBF56D8D3}">
      <text>
        <r>
          <rPr>
            <b/>
            <sz val="9"/>
            <color indexed="81"/>
            <rFont val="Tahoma"/>
            <family val="2"/>
          </rPr>
          <t>Chaitra-KMS:</t>
        </r>
        <r>
          <rPr>
            <sz val="9"/>
            <color indexed="81"/>
            <rFont val="Tahoma"/>
            <family val="2"/>
          </rPr>
          <t xml:space="preserve">
Source:
Folder -  ER aggregate sheet
Excel - VM0017-Master ER aggregate 2020 rev 6
Sheet - "SOC"
Cell No. - "E33"</t>
        </r>
      </text>
    </comment>
    <comment ref="E7" authorId="0" shapeId="0" xr:uid="{A52A4E19-5E15-45C2-9205-BC39760BE266}">
      <text>
        <r>
          <rPr>
            <b/>
            <sz val="9"/>
            <color indexed="81"/>
            <rFont val="Tahoma"/>
            <charset val="1"/>
          </rPr>
          <t>Paul-KMS:</t>
        </r>
        <r>
          <rPr>
            <sz val="9"/>
            <color indexed="81"/>
            <rFont val="Tahoma"/>
            <charset val="1"/>
          </rPr>
          <t xml:space="preserve">
Source
Folder- Ex-ante, Ex-post_ER_Sheet
Excel file - PRSmax_PRSmin.xlsx
Worksheet - PRSt_max
Cell - "U9"</t>
        </r>
      </text>
    </comment>
    <comment ref="F7" authorId="0" shapeId="0" xr:uid="{2D69B8AA-9A05-43C6-AE92-CF741E234D36}">
      <text>
        <r>
          <rPr>
            <b/>
            <sz val="9"/>
            <color indexed="81"/>
            <rFont val="Tahoma"/>
            <charset val="1"/>
          </rPr>
          <t>Paul-KMS:</t>
        </r>
        <r>
          <rPr>
            <sz val="9"/>
            <color indexed="81"/>
            <rFont val="Tahoma"/>
            <charset val="1"/>
          </rPr>
          <t xml:space="preserve">
Source
Folder- Ex-ante, Ex-post_ER_Sheet
Excel file - PRSmax_PRSmin.xlsx
Worksheet - PRSt_min
Cell - "U9"</t>
        </r>
      </text>
    </comment>
    <comment ref="K7" authorId="1" shapeId="0" xr:uid="{0D736E29-7652-4E22-958C-94FCA22989A3}">
      <text>
        <r>
          <rPr>
            <b/>
            <sz val="9"/>
            <color indexed="81"/>
            <rFont val="Tahoma"/>
            <family val="2"/>
          </rPr>
          <t>Chaitra-KMS:</t>
        </r>
        <r>
          <rPr>
            <sz val="9"/>
            <color indexed="81"/>
            <rFont val="Tahoma"/>
            <family val="2"/>
          </rPr>
          <t xml:space="preserve">
Source:
Folder -  ER aggregate sheet
Excel - VM0017-Master ER aggregate 2020 rev 6
Sheet - "SOC"
Cell No. - "E33"</t>
        </r>
      </text>
    </comment>
    <comment ref="R7" authorId="1" shapeId="0" xr:uid="{E9872435-6F9A-4B50-A643-AFAADCB5E9FB}">
      <text>
        <r>
          <rPr>
            <b/>
            <sz val="9"/>
            <color indexed="81"/>
            <rFont val="Tahoma"/>
            <family val="2"/>
          </rPr>
          <t>Chaitra-KMS:</t>
        </r>
        <r>
          <rPr>
            <sz val="9"/>
            <color indexed="81"/>
            <rFont val="Tahoma"/>
            <family val="2"/>
          </rPr>
          <t xml:space="preserve">
Source:
Folder -  ER aggregate sheet
Excel - VM0017-Master ER aggregate 2020 rev 6
Sheet - "SOC"
Cell No. - "E33"</t>
        </r>
      </text>
    </comment>
    <comment ref="D8" authorId="1" shapeId="0" xr:uid="{7527CBBC-4F70-4A76-A134-DE27DCE45770}">
      <text>
        <r>
          <rPr>
            <b/>
            <sz val="9"/>
            <color indexed="81"/>
            <rFont val="Tahoma"/>
            <family val="2"/>
          </rPr>
          <t>Chaitra-KMS:</t>
        </r>
        <r>
          <rPr>
            <sz val="9"/>
            <color indexed="81"/>
            <rFont val="Tahoma"/>
            <family val="2"/>
          </rPr>
          <t xml:space="preserve">
Source:
Folder -  ER aggregate sheet
Excel - VM0017-Master ER aggregate 2021 rev 6
Sheet - "SOC"
Cell No. - "E33"</t>
        </r>
      </text>
    </comment>
    <comment ref="E8" authorId="0" shapeId="0" xr:uid="{97B2997B-BD87-4E9E-A06B-7FB040E1EA3D}">
      <text>
        <r>
          <rPr>
            <b/>
            <sz val="9"/>
            <color indexed="81"/>
            <rFont val="Tahoma"/>
            <charset val="1"/>
          </rPr>
          <t>Paul-KMS:</t>
        </r>
        <r>
          <rPr>
            <sz val="9"/>
            <color indexed="81"/>
            <rFont val="Tahoma"/>
            <charset val="1"/>
          </rPr>
          <t xml:space="preserve">
Source
Folder- Ex-ante, Ex-post_ER_Sheet
Excel file - PRSmax_PRSmin.xlsx
Worksheet - PRSt_max
Cell - "U10"</t>
        </r>
      </text>
    </comment>
    <comment ref="F8" authorId="0" shapeId="0" xr:uid="{C96FF1AD-B2A2-4A9C-8AE4-ACA09C5B211A}">
      <text>
        <r>
          <rPr>
            <b/>
            <sz val="9"/>
            <color indexed="81"/>
            <rFont val="Tahoma"/>
            <charset val="1"/>
          </rPr>
          <t>Paul-KMS:</t>
        </r>
        <r>
          <rPr>
            <sz val="9"/>
            <color indexed="81"/>
            <rFont val="Tahoma"/>
            <charset val="1"/>
          </rPr>
          <t xml:space="preserve">
Source
Folder- Ex-ante, Ex-post_ER_Sheet
Excel file - PRSmax_PRSmin.xlsx
Worksheet - PRSt_min
Cell - "U10"</t>
        </r>
      </text>
    </comment>
    <comment ref="K8" authorId="1" shapeId="0" xr:uid="{657259AB-D5CB-455A-9A85-310CF165C879}">
      <text>
        <r>
          <rPr>
            <b/>
            <sz val="9"/>
            <color indexed="81"/>
            <rFont val="Tahoma"/>
            <family val="2"/>
          </rPr>
          <t>Chaitra-KMS:</t>
        </r>
        <r>
          <rPr>
            <sz val="9"/>
            <color indexed="81"/>
            <rFont val="Tahoma"/>
            <family val="2"/>
          </rPr>
          <t xml:space="preserve">
Source:
Folder -  ER aggregate sheet
Excel - VM0017-Master ER aggregate 2021 rev 6
Sheet - "SOC"
Cell No. - "E33"</t>
        </r>
      </text>
    </comment>
    <comment ref="R8" authorId="1" shapeId="0" xr:uid="{0F91C5AD-5768-4D8F-BB23-532714E0AE02}">
      <text>
        <r>
          <rPr>
            <b/>
            <sz val="9"/>
            <color indexed="81"/>
            <rFont val="Tahoma"/>
            <family val="2"/>
          </rPr>
          <t>Chaitra-KMS:</t>
        </r>
        <r>
          <rPr>
            <sz val="9"/>
            <color indexed="81"/>
            <rFont val="Tahoma"/>
            <family val="2"/>
          </rPr>
          <t xml:space="preserve">
Source:
Folder -  ER aggregate sheet
Excel - VM0017-Master ER aggregate 2021 rev 6
Sheet - "SOC"
Cell No. - "E33"</t>
        </r>
      </text>
    </comment>
    <comment ref="D9" authorId="1" shapeId="0" xr:uid="{34A61AE9-33D4-4250-A291-FDDE122920DA}">
      <text>
        <r>
          <rPr>
            <b/>
            <sz val="9"/>
            <color indexed="81"/>
            <rFont val="Tahoma"/>
            <family val="2"/>
          </rPr>
          <t>Chaitra-KMS:</t>
        </r>
        <r>
          <rPr>
            <sz val="9"/>
            <color indexed="81"/>
            <rFont val="Tahoma"/>
            <family val="2"/>
          </rPr>
          <t xml:space="preserve">
Source:
Folder -  ER aggregate sheet
Excel - VM0017-Master ER aggregate 2022 rev 6
Sheet - "SOC"
Cell No. - "E33"</t>
        </r>
      </text>
    </comment>
    <comment ref="E9" authorId="0" shapeId="0" xr:uid="{76B83628-622F-4456-87D8-CCFA6CFA026E}">
      <text>
        <r>
          <rPr>
            <b/>
            <sz val="9"/>
            <color indexed="81"/>
            <rFont val="Tahoma"/>
            <charset val="1"/>
          </rPr>
          <t>Paul-KMS:</t>
        </r>
        <r>
          <rPr>
            <sz val="9"/>
            <color indexed="81"/>
            <rFont val="Tahoma"/>
            <charset val="1"/>
          </rPr>
          <t xml:space="preserve">
Source
Folder- Ex-ante, Ex-post_ER_Sheet
Excel file - PRSmax_PRSmin.xlsx
Worksheet - PRSt_max
Cell - "U11"</t>
        </r>
      </text>
    </comment>
    <comment ref="F9" authorId="0" shapeId="0" xr:uid="{94F94F04-A2B4-40FC-BF27-9113CD4FB594}">
      <text>
        <r>
          <rPr>
            <b/>
            <sz val="9"/>
            <color indexed="81"/>
            <rFont val="Tahoma"/>
            <charset val="1"/>
          </rPr>
          <t>Paul-KMS:</t>
        </r>
        <r>
          <rPr>
            <sz val="9"/>
            <color indexed="81"/>
            <rFont val="Tahoma"/>
            <charset val="1"/>
          </rPr>
          <t xml:space="preserve">
Source
Folder- Ex-ante, Ex-post_ER_Sheet
Excel file - PRSmax_PRSmin.xlsx
Worksheet - PRSt_min
Cell - "U11"</t>
        </r>
      </text>
    </comment>
    <comment ref="K9" authorId="1" shapeId="0" xr:uid="{04995590-0FD4-4457-B55F-3D9927B3720F}">
      <text>
        <r>
          <rPr>
            <b/>
            <sz val="9"/>
            <color indexed="81"/>
            <rFont val="Tahoma"/>
            <family val="2"/>
          </rPr>
          <t>Chaitra-KMS:</t>
        </r>
        <r>
          <rPr>
            <sz val="9"/>
            <color indexed="81"/>
            <rFont val="Tahoma"/>
            <family val="2"/>
          </rPr>
          <t xml:space="preserve">
Source:
Folder -  ER aggregate sheet
Excel - VM0017-Master ER aggregate 2022 rev 6
Sheet - "SOC"
Cell No. - "E33"</t>
        </r>
      </text>
    </comment>
    <comment ref="R9" authorId="1" shapeId="0" xr:uid="{52A32218-87C9-4D9A-81DE-1448EFD258BA}">
      <text>
        <r>
          <rPr>
            <b/>
            <sz val="9"/>
            <color indexed="81"/>
            <rFont val="Tahoma"/>
            <family val="2"/>
          </rPr>
          <t>Chaitra-KMS:</t>
        </r>
        <r>
          <rPr>
            <sz val="9"/>
            <color indexed="81"/>
            <rFont val="Tahoma"/>
            <family val="2"/>
          </rPr>
          <t xml:space="preserve">
Source:
Folder -  ER aggregate sheet
Excel - VM0017-Master ER aggregate 2022 rev 6
Sheet - "SOC"
Cell No. - "E33"</t>
        </r>
      </text>
    </comment>
    <comment ref="N13" authorId="0" shapeId="0" xr:uid="{0D283821-E1AB-46BC-B552-B8F390E8A694}">
      <text>
        <r>
          <rPr>
            <b/>
            <sz val="9"/>
            <color indexed="81"/>
            <rFont val="Tahoma"/>
            <family val="2"/>
          </rPr>
          <t>Paul-KMS:</t>
        </r>
        <r>
          <rPr>
            <sz val="9"/>
            <color indexed="81"/>
            <rFont val="Tahoma"/>
            <family val="2"/>
          </rPr>
          <t xml:space="preserve">
The PRSt Max and PRSt Min represent the upper and lower bounds of carbon removals due to SOC enhancement under project conditions. 
The calculated uncertainty is more than 15%, so deduction is applied for tropical moist zone.
</t>
        </r>
      </text>
    </comment>
    <comment ref="D16" authorId="1" shapeId="0" xr:uid="{518A4212-253A-45AE-9ABF-56EB08374EC3}">
      <text>
        <r>
          <rPr>
            <b/>
            <sz val="9"/>
            <color indexed="81"/>
            <rFont val="Tahoma"/>
            <family val="2"/>
          </rPr>
          <t>Chaitra-KMS:</t>
        </r>
        <r>
          <rPr>
            <sz val="9"/>
            <color indexed="81"/>
            <rFont val="Tahoma"/>
            <family val="2"/>
          </rPr>
          <t xml:space="preserve">
Source:
Folder -  ER aggregate sheet
Excel - VM0017-Master ER aggregate 2019 rev 6
Sheet - "SOC"
Cell No. - "E34"</t>
        </r>
      </text>
    </comment>
    <comment ref="E16" authorId="0" shapeId="0" xr:uid="{1623C953-5B1A-46D0-84D5-683A536C9FAA}">
      <text>
        <r>
          <rPr>
            <b/>
            <sz val="9"/>
            <color indexed="81"/>
            <rFont val="Tahoma"/>
            <charset val="1"/>
          </rPr>
          <t>Paul-KMS:</t>
        </r>
        <r>
          <rPr>
            <sz val="9"/>
            <color indexed="81"/>
            <rFont val="Tahoma"/>
            <charset val="1"/>
          </rPr>
          <t xml:space="preserve">
Source
Folder- Ex-ante, Ex-post_ER_Sheet
Excel file - PRSmax_PRSmin.xlsx
Worksheet - PRSt_max
Cell - "U18"</t>
        </r>
      </text>
    </comment>
    <comment ref="F16" authorId="0" shapeId="0" xr:uid="{4BA38649-174F-421E-991F-4D1913162DC8}">
      <text>
        <r>
          <rPr>
            <b/>
            <sz val="9"/>
            <color indexed="81"/>
            <rFont val="Tahoma"/>
            <charset val="1"/>
          </rPr>
          <t>Paul-KMS:</t>
        </r>
        <r>
          <rPr>
            <sz val="9"/>
            <color indexed="81"/>
            <rFont val="Tahoma"/>
            <charset val="1"/>
          </rPr>
          <t xml:space="preserve">
Source
Folder- Ex-ante, Ex-post_ER_Sheet
Excel file - PRSmax_PRSmin.xlsx
Worksheet - PRSt_min
Cell - "U18"</t>
        </r>
      </text>
    </comment>
    <comment ref="K16" authorId="1" shapeId="0" xr:uid="{464CD089-A2F8-4BDC-9065-86F070D5900A}">
      <text>
        <r>
          <rPr>
            <b/>
            <sz val="9"/>
            <color indexed="81"/>
            <rFont val="Tahoma"/>
            <family val="2"/>
          </rPr>
          <t>Chaitra-KMS:</t>
        </r>
        <r>
          <rPr>
            <sz val="9"/>
            <color indexed="81"/>
            <rFont val="Tahoma"/>
            <family val="2"/>
          </rPr>
          <t xml:space="preserve">
Source:
Folder -  ER aggregate sheet
Excel - VM0017-Master ER aggregate 2019 rev 6
Sheet - "SOC"
Cell No. - "E34"</t>
        </r>
      </text>
    </comment>
    <comment ref="R16" authorId="1" shapeId="0" xr:uid="{63108E5D-65CE-473B-941D-3A0D5117C6CA}">
      <text>
        <r>
          <rPr>
            <b/>
            <sz val="9"/>
            <color indexed="81"/>
            <rFont val="Tahoma"/>
            <family val="2"/>
          </rPr>
          <t>Chaitra-KMS:</t>
        </r>
        <r>
          <rPr>
            <sz val="9"/>
            <color indexed="81"/>
            <rFont val="Tahoma"/>
            <family val="2"/>
          </rPr>
          <t xml:space="preserve">
Source:
Folder -  ER aggregate sheet
Excel - VM0017-Master ER aggregate 2019 rev 6
Sheet - "SOC"
Cell No. - "E34"</t>
        </r>
      </text>
    </comment>
    <comment ref="D17" authorId="1" shapeId="0" xr:uid="{7179341D-810A-45BB-8772-326F2415441D}">
      <text>
        <r>
          <rPr>
            <b/>
            <sz val="9"/>
            <color indexed="81"/>
            <rFont val="Tahoma"/>
            <family val="2"/>
          </rPr>
          <t>Chaitra-KMS:</t>
        </r>
        <r>
          <rPr>
            <sz val="9"/>
            <color indexed="81"/>
            <rFont val="Tahoma"/>
            <family val="2"/>
          </rPr>
          <t xml:space="preserve">
Source:
Folder -  ER aggregate sheet
Excel - VM0017-Master ER aggregate 2020 rev 6
Sheet - "SOC"
Cell No. - "E34"</t>
        </r>
      </text>
    </comment>
    <comment ref="E17" authorId="0" shapeId="0" xr:uid="{997BA418-AB7D-4B9D-BEA8-FF3D94A008D5}">
      <text>
        <r>
          <rPr>
            <b/>
            <sz val="9"/>
            <color indexed="81"/>
            <rFont val="Tahoma"/>
            <charset val="1"/>
          </rPr>
          <t>Paul-KMS:</t>
        </r>
        <r>
          <rPr>
            <sz val="9"/>
            <color indexed="81"/>
            <rFont val="Tahoma"/>
            <charset val="1"/>
          </rPr>
          <t xml:space="preserve">
Source
Folder- Ex-ante, Ex-post_ER_Sheet
Excel file - PRSmax_PRSmin.xlsx
Worksheet - PRSt_max
Cell - "U19"</t>
        </r>
      </text>
    </comment>
    <comment ref="F17" authorId="0" shapeId="0" xr:uid="{815143D3-EC5B-4342-BD29-5EB7A26FE330}">
      <text>
        <r>
          <rPr>
            <b/>
            <sz val="9"/>
            <color indexed="81"/>
            <rFont val="Tahoma"/>
            <charset val="1"/>
          </rPr>
          <t>Paul-KMS:</t>
        </r>
        <r>
          <rPr>
            <sz val="9"/>
            <color indexed="81"/>
            <rFont val="Tahoma"/>
            <charset val="1"/>
          </rPr>
          <t xml:space="preserve">
Source
Folder- Ex-ante, Ex-post_ER_Sheet
Excel file - PRSmax_PRSmin.xlsx
Worksheet - PRSt_min
Cell - "U19"</t>
        </r>
      </text>
    </comment>
    <comment ref="K17" authorId="1" shapeId="0" xr:uid="{6679FFB6-9746-4939-97F3-49B37BD6A77D}">
      <text>
        <r>
          <rPr>
            <b/>
            <sz val="9"/>
            <color indexed="81"/>
            <rFont val="Tahoma"/>
            <family val="2"/>
          </rPr>
          <t>Chaitra-KMS:</t>
        </r>
        <r>
          <rPr>
            <sz val="9"/>
            <color indexed="81"/>
            <rFont val="Tahoma"/>
            <family val="2"/>
          </rPr>
          <t xml:space="preserve">
Source:
Folder -  ER aggregate sheet
Excel - VM0017-Master ER aggregate 2020 rev 6
Sheet - "SOC"
Cell No. - "E34"</t>
        </r>
      </text>
    </comment>
    <comment ref="R17" authorId="1" shapeId="0" xr:uid="{39F68855-F158-4B98-8923-4D33827FADFC}">
      <text>
        <r>
          <rPr>
            <b/>
            <sz val="9"/>
            <color indexed="81"/>
            <rFont val="Tahoma"/>
            <family val="2"/>
          </rPr>
          <t>Chaitra-KMS:</t>
        </r>
        <r>
          <rPr>
            <sz val="9"/>
            <color indexed="81"/>
            <rFont val="Tahoma"/>
            <family val="2"/>
          </rPr>
          <t xml:space="preserve">
Source:
Folder -  ER aggregate sheet
Excel - VM0017-Master ER aggregate 2020 rev 6
Sheet - "SOC"
Cell No. - "E34"</t>
        </r>
      </text>
    </comment>
    <comment ref="D18" authorId="1" shapeId="0" xr:uid="{F00ACEA4-FBE9-4953-B881-D609960F03C0}">
      <text>
        <r>
          <rPr>
            <b/>
            <sz val="9"/>
            <color indexed="81"/>
            <rFont val="Tahoma"/>
            <family val="2"/>
          </rPr>
          <t>Chaitra-KMS:</t>
        </r>
        <r>
          <rPr>
            <sz val="9"/>
            <color indexed="81"/>
            <rFont val="Tahoma"/>
            <family val="2"/>
          </rPr>
          <t xml:space="preserve">
Source:
Folder -  ER aggregate sheet
Excel - VM0017-Master ER aggregate 2021 rev 6
Sheet - "SOC"
Cell No. - "E34"</t>
        </r>
      </text>
    </comment>
    <comment ref="E18" authorId="0" shapeId="0" xr:uid="{EACB3A87-59AB-4E18-B261-91D1E8E34CCE}">
      <text>
        <r>
          <rPr>
            <b/>
            <sz val="9"/>
            <color indexed="81"/>
            <rFont val="Tahoma"/>
            <charset val="1"/>
          </rPr>
          <t>Paul-KMS:</t>
        </r>
        <r>
          <rPr>
            <sz val="9"/>
            <color indexed="81"/>
            <rFont val="Tahoma"/>
            <charset val="1"/>
          </rPr>
          <t xml:space="preserve">
Source
Folder- Ex-ante, Ex-post_ER_Sheet
Excel file - PRSmax_PRSmin.xlsx
Worksheet - PRSt_max
Cell - "U20"</t>
        </r>
      </text>
    </comment>
    <comment ref="F18" authorId="0" shapeId="0" xr:uid="{A0250D13-5985-48C2-AB56-F703BD54943D}">
      <text>
        <r>
          <rPr>
            <b/>
            <sz val="9"/>
            <color indexed="81"/>
            <rFont val="Tahoma"/>
            <charset val="1"/>
          </rPr>
          <t>Paul-KMS:</t>
        </r>
        <r>
          <rPr>
            <sz val="9"/>
            <color indexed="81"/>
            <rFont val="Tahoma"/>
            <charset val="1"/>
          </rPr>
          <t xml:space="preserve">
Source
Folder- Ex-ante, Ex-post_ER_Sheet
Excel file - PRSmax_PRSmin.xlsx
Worksheet - PRSt_min
Cell - "U20"</t>
        </r>
      </text>
    </comment>
    <comment ref="K18" authorId="1" shapeId="0" xr:uid="{02F51711-5C16-4283-B950-E0F590394FDE}">
      <text>
        <r>
          <rPr>
            <b/>
            <sz val="9"/>
            <color indexed="81"/>
            <rFont val="Tahoma"/>
            <family val="2"/>
          </rPr>
          <t>Chaitra-KMS:</t>
        </r>
        <r>
          <rPr>
            <sz val="9"/>
            <color indexed="81"/>
            <rFont val="Tahoma"/>
            <family val="2"/>
          </rPr>
          <t xml:space="preserve">
Source:
Folder -  ER aggregate sheet
Excel - VM0017-Master ER aggregate 2021 rev 6
Sheet - "SOC"
Cell No. - "E34"</t>
        </r>
      </text>
    </comment>
    <comment ref="R18" authorId="1" shapeId="0" xr:uid="{76DB4358-133C-49EB-BB5A-03F7BAF87CD5}">
      <text>
        <r>
          <rPr>
            <b/>
            <sz val="9"/>
            <color indexed="81"/>
            <rFont val="Tahoma"/>
            <family val="2"/>
          </rPr>
          <t>Chaitra-KMS:</t>
        </r>
        <r>
          <rPr>
            <sz val="9"/>
            <color indexed="81"/>
            <rFont val="Tahoma"/>
            <family val="2"/>
          </rPr>
          <t xml:space="preserve">
Source:
Folder -  ER aggregate sheet
Excel - VM0017-Master ER aggregate 2021 rev 6
Sheet - "SOC"
Cell No. - "E34"</t>
        </r>
      </text>
    </comment>
    <comment ref="D19" authorId="1" shapeId="0" xr:uid="{86CE363A-F202-4D4F-95B8-A3B717B69DD1}">
      <text>
        <r>
          <rPr>
            <b/>
            <sz val="9"/>
            <color indexed="81"/>
            <rFont val="Tahoma"/>
            <family val="2"/>
          </rPr>
          <t>Chaitra-KMS:</t>
        </r>
        <r>
          <rPr>
            <sz val="9"/>
            <color indexed="81"/>
            <rFont val="Tahoma"/>
            <family val="2"/>
          </rPr>
          <t xml:space="preserve">
Source:
Folder -  ER aggregate sheet
Excel - VM0017-Master ER aggregate 2022 rev 6
Sheet - "SOC"
Cell No. - "E34"</t>
        </r>
      </text>
    </comment>
    <comment ref="E19" authorId="0" shapeId="0" xr:uid="{F10D890E-700D-4BA8-A91D-17B6878C7AF8}">
      <text>
        <r>
          <rPr>
            <b/>
            <sz val="9"/>
            <color indexed="81"/>
            <rFont val="Tahoma"/>
            <charset val="1"/>
          </rPr>
          <t>Paul-KMS:</t>
        </r>
        <r>
          <rPr>
            <sz val="9"/>
            <color indexed="81"/>
            <rFont val="Tahoma"/>
            <charset val="1"/>
          </rPr>
          <t xml:space="preserve">
Source
Folder- Ex-ante, Ex-post_ER_Sheet
Excel file - PRSmax_PRSmin.xlsx
Worksheet - PRSt_max
Cell - "U21"</t>
        </r>
      </text>
    </comment>
    <comment ref="F19" authorId="0" shapeId="0" xr:uid="{53D1A9C1-D9D9-45E7-8877-84DD2CD0E61C}">
      <text>
        <r>
          <rPr>
            <b/>
            <sz val="9"/>
            <color indexed="81"/>
            <rFont val="Tahoma"/>
            <charset val="1"/>
          </rPr>
          <t>Paul-KMS:</t>
        </r>
        <r>
          <rPr>
            <sz val="9"/>
            <color indexed="81"/>
            <rFont val="Tahoma"/>
            <charset val="1"/>
          </rPr>
          <t xml:space="preserve">
Source
Folder- Ex-ante, Ex-post_ER_Sheet
Excel file - PRSmax_PRSmin.xlsx
Worksheet - PRSt_min
Cell - "U21"</t>
        </r>
      </text>
    </comment>
    <comment ref="K19" authorId="1" shapeId="0" xr:uid="{226B978D-0AD5-472B-B6A6-B0E9D8744DF8}">
      <text>
        <r>
          <rPr>
            <b/>
            <sz val="9"/>
            <color indexed="81"/>
            <rFont val="Tahoma"/>
            <family val="2"/>
          </rPr>
          <t>Chaitra-KMS:</t>
        </r>
        <r>
          <rPr>
            <sz val="9"/>
            <color indexed="81"/>
            <rFont val="Tahoma"/>
            <family val="2"/>
          </rPr>
          <t xml:space="preserve">
Source:
Folder -  ER aggregate sheet
Excel - VM0017-Master ER aggregate 2022 rev 6
Sheet - "SOC"
Cell No. - "E34"</t>
        </r>
      </text>
    </comment>
    <comment ref="R19" authorId="1" shapeId="0" xr:uid="{AB742AEA-FCF5-4A5B-BD42-B58836FD4A05}">
      <text>
        <r>
          <rPr>
            <b/>
            <sz val="9"/>
            <color indexed="81"/>
            <rFont val="Tahoma"/>
            <family val="2"/>
          </rPr>
          <t>Chaitra-KMS:</t>
        </r>
        <r>
          <rPr>
            <sz val="9"/>
            <color indexed="81"/>
            <rFont val="Tahoma"/>
            <family val="2"/>
          </rPr>
          <t xml:space="preserve">
Source:
Folder -  ER aggregate sheet
Excel - VM0017-Master ER aggregate 2022 rev 6
Sheet - "SOC"
Cell No. - "E34"</t>
        </r>
      </text>
    </comment>
    <comment ref="N23" authorId="0" shapeId="0" xr:uid="{4A14E3B3-B41D-47E6-AB65-CDAAD301B136}">
      <text>
        <r>
          <rPr>
            <b/>
            <sz val="9"/>
            <color indexed="81"/>
            <rFont val="Tahoma"/>
            <family val="2"/>
          </rPr>
          <t>Paul-KMS:</t>
        </r>
        <r>
          <rPr>
            <sz val="9"/>
            <color indexed="81"/>
            <rFont val="Tahoma"/>
            <family val="2"/>
          </rPr>
          <t xml:space="preserve">
The PRSt Max and PRSt Min represent the upper and lower bounds of carbon removals due to SOC enhancement under project conditions. 
The calculated uncertainty is less than 15%, so no deduction is applied for tropical wet zone.
</t>
        </r>
      </text>
    </comment>
    <comment ref="D26" authorId="1" shapeId="0" xr:uid="{5750911A-5D0A-4557-A8C3-7D1AF574B585}">
      <text>
        <r>
          <rPr>
            <b/>
            <sz val="9"/>
            <color indexed="81"/>
            <rFont val="Tahoma"/>
            <family val="2"/>
          </rPr>
          <t>Chaitra-KMS:</t>
        </r>
        <r>
          <rPr>
            <sz val="9"/>
            <color indexed="81"/>
            <rFont val="Tahoma"/>
            <family val="2"/>
          </rPr>
          <t xml:space="preserve">
Source:
Folder -  ER aggregate sheet
Excel - VM0017-Master ER aggregate 2019 rev 6
Sheet - "SOC"
Cell No. - "E35"</t>
        </r>
      </text>
    </comment>
    <comment ref="E26" authorId="0" shapeId="0" xr:uid="{2C99CD8D-589B-403D-AA6A-917D48003B76}">
      <text>
        <r>
          <rPr>
            <b/>
            <sz val="9"/>
            <color indexed="81"/>
            <rFont val="Tahoma"/>
            <charset val="1"/>
          </rPr>
          <t>Paul-KMS:</t>
        </r>
        <r>
          <rPr>
            <sz val="9"/>
            <color indexed="81"/>
            <rFont val="Tahoma"/>
            <charset val="1"/>
          </rPr>
          <t xml:space="preserve">
Source
Folder- Ex-ante, Ex-post_ER_Sheet
Excel file - PRSmax_PRSmin.xlsx
Worksheet - PRSt_max
Cell - "U28"</t>
        </r>
      </text>
    </comment>
    <comment ref="F26" authorId="0" shapeId="0" xr:uid="{DA656961-F76C-4CB4-B6EF-9127D4825FD0}">
      <text>
        <r>
          <rPr>
            <b/>
            <sz val="9"/>
            <color indexed="81"/>
            <rFont val="Tahoma"/>
            <charset val="1"/>
          </rPr>
          <t>Paul-KMS:</t>
        </r>
        <r>
          <rPr>
            <sz val="9"/>
            <color indexed="81"/>
            <rFont val="Tahoma"/>
            <charset val="1"/>
          </rPr>
          <t xml:space="preserve">
Source
Folder- Ex-ante, Ex-post_ER_Sheet
Excel file - PRSmax_PRSmin.xlsx
Worksheet - PRSt_min
Cell - "U28"</t>
        </r>
      </text>
    </comment>
    <comment ref="K26" authorId="1" shapeId="0" xr:uid="{3398CBE1-0207-4907-B73C-E905109FE1C9}">
      <text>
        <r>
          <rPr>
            <b/>
            <sz val="9"/>
            <color indexed="81"/>
            <rFont val="Tahoma"/>
            <family val="2"/>
          </rPr>
          <t>Chaitra-KMS:</t>
        </r>
        <r>
          <rPr>
            <sz val="9"/>
            <color indexed="81"/>
            <rFont val="Tahoma"/>
            <family val="2"/>
          </rPr>
          <t xml:space="preserve">
Source:
Folder -  ER aggregate sheet
Excel - VM0017-Master ER aggregate 2019 rev 6
Sheet - "SOC"
Cell No. - "E35"</t>
        </r>
      </text>
    </comment>
    <comment ref="R26" authorId="1" shapeId="0" xr:uid="{7D741C0F-27B9-42B6-B8F4-FCD7B79F7BA3}">
      <text>
        <r>
          <rPr>
            <b/>
            <sz val="9"/>
            <color indexed="81"/>
            <rFont val="Tahoma"/>
            <family val="2"/>
          </rPr>
          <t>Chaitra-KMS:</t>
        </r>
        <r>
          <rPr>
            <sz val="9"/>
            <color indexed="81"/>
            <rFont val="Tahoma"/>
            <family val="2"/>
          </rPr>
          <t xml:space="preserve">
Source:
Folder -  ER aggregate sheet
Excel - VM0017-Master ER aggregate 2019 rev 6
Sheet - "SOC"
Cell No. - "E35"</t>
        </r>
      </text>
    </comment>
    <comment ref="D27" authorId="1" shapeId="0" xr:uid="{0933D860-D845-4E52-8A50-9F7AC2D89769}">
      <text>
        <r>
          <rPr>
            <b/>
            <sz val="9"/>
            <color indexed="81"/>
            <rFont val="Tahoma"/>
            <family val="2"/>
          </rPr>
          <t>Chaitra-KMS:</t>
        </r>
        <r>
          <rPr>
            <sz val="9"/>
            <color indexed="81"/>
            <rFont val="Tahoma"/>
            <family val="2"/>
          </rPr>
          <t xml:space="preserve">
Source:
Folder -  ER aggregate sheet
Excel - VM0017-Master ER aggregate 2020 rev 6
Sheet - "SOC"
Cell No. - "E35"</t>
        </r>
      </text>
    </comment>
    <comment ref="E27" authorId="0" shapeId="0" xr:uid="{A858A656-8737-4CC8-849F-8D2F994E9E25}">
      <text>
        <r>
          <rPr>
            <b/>
            <sz val="9"/>
            <color indexed="81"/>
            <rFont val="Tahoma"/>
            <charset val="1"/>
          </rPr>
          <t>Paul-KMS:</t>
        </r>
        <r>
          <rPr>
            <sz val="9"/>
            <color indexed="81"/>
            <rFont val="Tahoma"/>
            <charset val="1"/>
          </rPr>
          <t xml:space="preserve">
Source
Folder- Ex-ante, Ex-post_ER_Sheet
Excel file - PRSmax_PRSmin.xlsx
Worksheet - PRSt_max
Cell - "U29"</t>
        </r>
      </text>
    </comment>
    <comment ref="F27" authorId="0" shapeId="0" xr:uid="{017D7803-2FE3-47BE-B607-97B068C7DD4F}">
      <text>
        <r>
          <rPr>
            <b/>
            <sz val="9"/>
            <color indexed="81"/>
            <rFont val="Tahoma"/>
            <charset val="1"/>
          </rPr>
          <t>Paul-KMS:</t>
        </r>
        <r>
          <rPr>
            <sz val="9"/>
            <color indexed="81"/>
            <rFont val="Tahoma"/>
            <charset val="1"/>
          </rPr>
          <t xml:space="preserve">
Source
Folder- Ex-ante, Ex-post_ER_Sheet
Excel file - PRSmax_PRSmin.xlsx
Worksheet - PRSt_min
Cell - "U29"</t>
        </r>
      </text>
    </comment>
    <comment ref="K27" authorId="1" shapeId="0" xr:uid="{5E607133-6A86-4942-8A87-1D24E1261E03}">
      <text>
        <r>
          <rPr>
            <b/>
            <sz val="9"/>
            <color indexed="81"/>
            <rFont val="Tahoma"/>
            <family val="2"/>
          </rPr>
          <t>Chaitra-KMS:</t>
        </r>
        <r>
          <rPr>
            <sz val="9"/>
            <color indexed="81"/>
            <rFont val="Tahoma"/>
            <family val="2"/>
          </rPr>
          <t xml:space="preserve">
Source:
Folder -  ER aggregate sheet
Excel - VM0017-Master ER aggregate 2020 rev 6
Sheet - "SOC"
Cell No. - "E35"</t>
        </r>
      </text>
    </comment>
    <comment ref="R27" authorId="1" shapeId="0" xr:uid="{2C8F439A-57AB-4320-A770-76096CAAC0B5}">
      <text>
        <r>
          <rPr>
            <b/>
            <sz val="9"/>
            <color indexed="81"/>
            <rFont val="Tahoma"/>
            <family val="2"/>
          </rPr>
          <t>Chaitra-KMS:</t>
        </r>
        <r>
          <rPr>
            <sz val="9"/>
            <color indexed="81"/>
            <rFont val="Tahoma"/>
            <family val="2"/>
          </rPr>
          <t xml:space="preserve">
Source:
Folder -  ER aggregate sheet
Excel - VM0017-Master ER aggregate 2020 rev 6
Sheet - "SOC"
Cell No. - "E35"</t>
        </r>
      </text>
    </comment>
    <comment ref="D28" authorId="1" shapeId="0" xr:uid="{F2DADC21-B6F1-4554-ABED-C478E808FCEA}">
      <text>
        <r>
          <rPr>
            <b/>
            <sz val="9"/>
            <color indexed="81"/>
            <rFont val="Tahoma"/>
            <family val="2"/>
          </rPr>
          <t>Chaitra-KMS:</t>
        </r>
        <r>
          <rPr>
            <sz val="9"/>
            <color indexed="81"/>
            <rFont val="Tahoma"/>
            <family val="2"/>
          </rPr>
          <t xml:space="preserve">
Source:
Folder -  ER aggregate sheet
Excel - VM0017-Master ER aggregate 2021 rev 6
Sheet - "SOC"
Cell No. - "E35"</t>
        </r>
      </text>
    </comment>
    <comment ref="E28" authorId="0" shapeId="0" xr:uid="{F4F45ACC-B575-4D3E-809A-5B2E69512C10}">
      <text>
        <r>
          <rPr>
            <b/>
            <sz val="9"/>
            <color indexed="81"/>
            <rFont val="Tahoma"/>
            <charset val="1"/>
          </rPr>
          <t>Paul-KMS:</t>
        </r>
        <r>
          <rPr>
            <sz val="9"/>
            <color indexed="81"/>
            <rFont val="Tahoma"/>
            <charset val="1"/>
          </rPr>
          <t xml:space="preserve">
Source
Folder- Ex-ante, Ex-post_ER_Sheet
Excel file - PRSmax_PRSmin.xlsx
Worksheet - PRSt_max
Cell - "U30"</t>
        </r>
      </text>
    </comment>
    <comment ref="F28" authorId="0" shapeId="0" xr:uid="{47685CD5-AA25-4CED-8F23-6FD231418D8A}">
      <text>
        <r>
          <rPr>
            <b/>
            <sz val="9"/>
            <color indexed="81"/>
            <rFont val="Tahoma"/>
            <charset val="1"/>
          </rPr>
          <t>Paul-KMS:</t>
        </r>
        <r>
          <rPr>
            <sz val="9"/>
            <color indexed="81"/>
            <rFont val="Tahoma"/>
            <charset val="1"/>
          </rPr>
          <t xml:space="preserve">
Source
Folder- Ex-ante, Ex-post_ER_Sheet
Excel file - PRSmax_PRSmin.xlsx
Worksheet - PRSt_min
Cell - "U30"</t>
        </r>
      </text>
    </comment>
    <comment ref="K28" authorId="1" shapeId="0" xr:uid="{09D64842-9CD7-45DC-BBE6-940A66006CC5}">
      <text>
        <r>
          <rPr>
            <b/>
            <sz val="9"/>
            <color indexed="81"/>
            <rFont val="Tahoma"/>
            <family val="2"/>
          </rPr>
          <t>Chaitra-KMS:</t>
        </r>
        <r>
          <rPr>
            <sz val="9"/>
            <color indexed="81"/>
            <rFont val="Tahoma"/>
            <family val="2"/>
          </rPr>
          <t xml:space="preserve">
Source:
Folder -  ER aggregate sheet
Excel - VM0017-Master ER aggregate 2021 rev 6
Sheet - "SOC"
Cell No. - "E35"</t>
        </r>
      </text>
    </comment>
    <comment ref="R28" authorId="1" shapeId="0" xr:uid="{9B40EA3D-A47B-4427-B7B8-BB00A3156B31}">
      <text>
        <r>
          <rPr>
            <b/>
            <sz val="9"/>
            <color indexed="81"/>
            <rFont val="Tahoma"/>
            <family val="2"/>
          </rPr>
          <t>Chaitra-KMS:</t>
        </r>
        <r>
          <rPr>
            <sz val="9"/>
            <color indexed="81"/>
            <rFont val="Tahoma"/>
            <family val="2"/>
          </rPr>
          <t xml:space="preserve">
Source:
Folder -  ER aggregate sheet
Excel - VM0017-Master ER aggregate 2021 rev 6
Sheet - "SOC"
Cell No. - "E35"</t>
        </r>
      </text>
    </comment>
    <comment ref="D29" authorId="1" shapeId="0" xr:uid="{28DEF45B-B763-4967-989A-9B55471D975F}">
      <text>
        <r>
          <rPr>
            <b/>
            <sz val="9"/>
            <color indexed="81"/>
            <rFont val="Tahoma"/>
            <family val="2"/>
          </rPr>
          <t>Chaitra-KMS:</t>
        </r>
        <r>
          <rPr>
            <sz val="9"/>
            <color indexed="81"/>
            <rFont val="Tahoma"/>
            <family val="2"/>
          </rPr>
          <t xml:space="preserve">
Source:
Folder -  ER aggregate sheet
Excel - VM0017-Master ER aggregate 2022 rev 6
Sheet - "SOC"
Cell No. - "E35"</t>
        </r>
      </text>
    </comment>
    <comment ref="E29" authorId="0" shapeId="0" xr:uid="{4C06FD54-3E35-4621-919C-FEE08C8DA036}">
      <text>
        <r>
          <rPr>
            <b/>
            <sz val="9"/>
            <color indexed="81"/>
            <rFont val="Tahoma"/>
            <charset val="1"/>
          </rPr>
          <t>Paul-KMS:</t>
        </r>
        <r>
          <rPr>
            <sz val="9"/>
            <color indexed="81"/>
            <rFont val="Tahoma"/>
            <charset val="1"/>
          </rPr>
          <t xml:space="preserve">
Source
Folder- Ex-ante, Ex-post_ER_Sheet
Excel file - PRSmax_PRSmin.xlsx
Worksheet - PRSt_max
Cell - "U31"</t>
        </r>
      </text>
    </comment>
    <comment ref="F29" authorId="0" shapeId="0" xr:uid="{78253C75-2A44-46E9-A94C-C63E1B1D0FDB}">
      <text>
        <r>
          <rPr>
            <b/>
            <sz val="9"/>
            <color indexed="81"/>
            <rFont val="Tahoma"/>
            <charset val="1"/>
          </rPr>
          <t>Paul-KMS:</t>
        </r>
        <r>
          <rPr>
            <sz val="9"/>
            <color indexed="81"/>
            <rFont val="Tahoma"/>
            <charset val="1"/>
          </rPr>
          <t xml:space="preserve">
Source
Folder- Ex-ante, Ex-post_ER_Sheet
Excel file - PRSmax_PRSmin.xlsx
Worksheet - PRSt_min
Cell - "U31"</t>
        </r>
      </text>
    </comment>
    <comment ref="K29" authorId="1" shapeId="0" xr:uid="{2DDB7E23-5507-401F-98D9-83228E78001F}">
      <text>
        <r>
          <rPr>
            <b/>
            <sz val="9"/>
            <color indexed="81"/>
            <rFont val="Tahoma"/>
            <family val="2"/>
          </rPr>
          <t>Chaitra-KMS:</t>
        </r>
        <r>
          <rPr>
            <sz val="9"/>
            <color indexed="81"/>
            <rFont val="Tahoma"/>
            <family val="2"/>
          </rPr>
          <t xml:space="preserve">
Source:
Folder -  ER aggregate sheet
Excel - VM0017-Master ER aggregate 2022 rev 6
Sheet - "SOC"
Cell No. - "E35"</t>
        </r>
      </text>
    </comment>
    <comment ref="R29" authorId="1" shapeId="0" xr:uid="{412EBC37-2CFD-4C52-BDBA-77096B09575C}">
      <text>
        <r>
          <rPr>
            <b/>
            <sz val="9"/>
            <color indexed="81"/>
            <rFont val="Tahoma"/>
            <family val="2"/>
          </rPr>
          <t>Chaitra-KMS:</t>
        </r>
        <r>
          <rPr>
            <sz val="9"/>
            <color indexed="81"/>
            <rFont val="Tahoma"/>
            <family val="2"/>
          </rPr>
          <t xml:space="preserve">
Source:
Folder -  ER aggregate sheet
Excel - VM0017-Master ER aggregate 2022 rev 6
Sheet - "SOC"
Cell No. - "E35"</t>
        </r>
      </text>
    </comment>
  </commentList>
</comments>
</file>

<file path=xl/sharedStrings.xml><?xml version="1.0" encoding="utf-8"?>
<sst xmlns="http://schemas.openxmlformats.org/spreadsheetml/2006/main" count="292" uniqueCount="136">
  <si>
    <t>Ex-ante SOC calcualtion</t>
  </si>
  <si>
    <t xml:space="preserve">PEFt  and PRSt  (tCO2e/ha/year) </t>
  </si>
  <si>
    <t>Fertilizer and SOC</t>
  </si>
  <si>
    <t>Tropical Dry</t>
  </si>
  <si>
    <t>Tropical Moist</t>
  </si>
  <si>
    <t>Tropical Wet</t>
  </si>
  <si>
    <t>Year</t>
  </si>
  <si>
    <t>Crop area (ha)</t>
  </si>
  <si>
    <t>PEFt (A) (tCO2e)</t>
  </si>
  <si>
    <r>
      <t>PRS</t>
    </r>
    <r>
      <rPr>
        <b/>
        <i/>
        <vertAlign val="subscript"/>
        <sz val="10"/>
        <color theme="0"/>
        <rFont val="Aptos Narrow"/>
        <family val="2"/>
        <scheme val="minor"/>
      </rPr>
      <t>t</t>
    </r>
    <r>
      <rPr>
        <b/>
        <i/>
        <sz val="10"/>
        <color theme="0"/>
        <rFont val="Aptos Narrow"/>
        <family val="2"/>
        <scheme val="minor"/>
      </rPr>
      <t xml:space="preserve"> (A) (tCO2e)</t>
    </r>
  </si>
  <si>
    <t>PEFt (B) (tCO2e)</t>
  </si>
  <si>
    <r>
      <t>PRS</t>
    </r>
    <r>
      <rPr>
        <b/>
        <i/>
        <vertAlign val="subscript"/>
        <sz val="10"/>
        <color theme="0"/>
        <rFont val="Aptos Narrow"/>
        <family val="2"/>
        <scheme val="minor"/>
      </rPr>
      <t>t</t>
    </r>
    <r>
      <rPr>
        <b/>
        <i/>
        <sz val="10"/>
        <color theme="0"/>
        <rFont val="Aptos Narrow"/>
        <family val="2"/>
        <scheme val="minor"/>
      </rPr>
      <t xml:space="preserve"> (B) (tCO2e)</t>
    </r>
  </si>
  <si>
    <t>PEFt(C)  (tCO2e)</t>
  </si>
  <si>
    <r>
      <t>PRS</t>
    </r>
    <r>
      <rPr>
        <b/>
        <i/>
        <vertAlign val="subscript"/>
        <sz val="10"/>
        <color theme="0"/>
        <rFont val="Aptos Narrow"/>
        <family val="2"/>
        <scheme val="minor"/>
      </rPr>
      <t>t</t>
    </r>
    <r>
      <rPr>
        <b/>
        <i/>
        <sz val="10"/>
        <color theme="0"/>
        <rFont val="Aptos Narrow"/>
        <family val="2"/>
        <scheme val="minor"/>
      </rPr>
      <t xml:space="preserve"> ( C) (tCO2e)</t>
    </r>
  </si>
  <si>
    <t>Area(ha)</t>
  </si>
  <si>
    <r>
      <t>PEFt (tCO</t>
    </r>
    <r>
      <rPr>
        <vertAlign val="subscript"/>
        <sz val="10"/>
        <color theme="1"/>
        <rFont val="Aptos Narrow"/>
        <family val="2"/>
        <scheme val="minor"/>
      </rPr>
      <t>2</t>
    </r>
    <r>
      <rPr>
        <sz val="10"/>
        <color theme="1"/>
        <rFont val="Aptos Narrow"/>
        <family val="2"/>
        <scheme val="minor"/>
      </rPr>
      <t>e/ha)</t>
    </r>
  </si>
  <si>
    <t>1st oct 2017</t>
  </si>
  <si>
    <r>
      <t>PRSt (tCO</t>
    </r>
    <r>
      <rPr>
        <vertAlign val="subscript"/>
        <sz val="10"/>
        <color theme="1"/>
        <rFont val="Aptos Narrow"/>
        <family val="2"/>
        <scheme val="minor"/>
      </rPr>
      <t>2</t>
    </r>
    <r>
      <rPr>
        <sz val="10"/>
        <color theme="1"/>
        <rFont val="Aptos Narrow"/>
        <family val="2"/>
        <scheme val="minor"/>
      </rPr>
      <t>e/ha)</t>
    </r>
  </si>
  <si>
    <t>IPCC</t>
  </si>
  <si>
    <t>Crop  Area (ha)</t>
  </si>
  <si>
    <t>TOC (modelled)</t>
  </si>
  <si>
    <t>Difference (tCha-1)</t>
  </si>
  <si>
    <t>0-13cm soil depth</t>
  </si>
  <si>
    <t>Total</t>
  </si>
  <si>
    <t>Average</t>
  </si>
  <si>
    <t>Annual (tCha-1)</t>
  </si>
  <si>
    <t>Annual (tCo2eq)</t>
  </si>
  <si>
    <t>Note: For the ex-ante estimation, SOC changes from published literature were used, reflecting net SOC changes based on the adoption of specific practices. Average of T3,T4 and T5  was selected for SOC change as the study area represents more than 75% of the Project area.</t>
  </si>
  <si>
    <t>13-23cm soil depth</t>
  </si>
  <si>
    <t>30th Sept 2047</t>
  </si>
  <si>
    <t>Ex-ante Agroforestry Calcualtion</t>
  </si>
  <si>
    <t>Agroforestry area (ha)</t>
  </si>
  <si>
    <t>No. of trees</t>
  </si>
  <si>
    <t>Trees / hectare</t>
  </si>
  <si>
    <t>Avg Circ (cm)</t>
  </si>
  <si>
    <t>Avg DBH (cm)</t>
  </si>
  <si>
    <t>Avg AGB (tree in kg)</t>
  </si>
  <si>
    <t>Total AGB (kg)</t>
  </si>
  <si>
    <t>Total AGB (tonne)</t>
  </si>
  <si>
    <t>AGB t/ha</t>
  </si>
  <si>
    <t>BGB t/ ha</t>
  </si>
  <si>
    <t>Carbon tC/ ha</t>
  </si>
  <si>
    <r>
      <t>PRWP</t>
    </r>
    <r>
      <rPr>
        <b/>
        <i/>
        <vertAlign val="subscript"/>
        <sz val="10"/>
        <color theme="0"/>
        <rFont val="Aptos Narrow"/>
        <family val="2"/>
        <scheme val="minor"/>
      </rPr>
      <t xml:space="preserve">t   </t>
    </r>
    <r>
      <rPr>
        <b/>
        <i/>
        <sz val="10"/>
        <color theme="0"/>
        <rFont val="Aptos Narrow"/>
        <family val="2"/>
        <scheme val="minor"/>
      </rPr>
      <t>(A) (tCO2e)</t>
    </r>
  </si>
  <si>
    <r>
      <t>PRWP</t>
    </r>
    <r>
      <rPr>
        <b/>
        <i/>
        <vertAlign val="subscript"/>
        <sz val="10"/>
        <color theme="0"/>
        <rFont val="Aptos Narrow"/>
        <family val="2"/>
        <scheme val="minor"/>
      </rPr>
      <t xml:space="preserve">t   </t>
    </r>
    <r>
      <rPr>
        <b/>
        <i/>
        <sz val="10"/>
        <color theme="0"/>
        <rFont val="Aptos Narrow"/>
        <family val="2"/>
        <scheme val="minor"/>
      </rPr>
      <t>(B) (tCO2e)</t>
    </r>
  </si>
  <si>
    <r>
      <t>PRWP</t>
    </r>
    <r>
      <rPr>
        <b/>
        <i/>
        <vertAlign val="subscript"/>
        <sz val="10"/>
        <color theme="0"/>
        <rFont val="Aptos Narrow"/>
        <family val="2"/>
        <scheme val="minor"/>
      </rPr>
      <t xml:space="preserve">t   </t>
    </r>
    <r>
      <rPr>
        <b/>
        <i/>
        <sz val="10"/>
        <color theme="0"/>
        <rFont val="Aptos Narrow"/>
        <family val="2"/>
        <scheme val="minor"/>
      </rPr>
      <t>(C ) (tCO2e)</t>
    </r>
  </si>
  <si>
    <t>Baseline</t>
  </si>
  <si>
    <t>Project scenario</t>
  </si>
  <si>
    <t>Parameter values</t>
  </si>
  <si>
    <t>Source file</t>
  </si>
  <si>
    <t>Buffer (%)</t>
  </si>
  <si>
    <t>Project area (ha)</t>
  </si>
  <si>
    <t>BEFt (tCO2e)</t>
  </si>
  <si>
    <r>
      <t>BEN</t>
    </r>
    <r>
      <rPr>
        <b/>
        <i/>
        <vertAlign val="subscript"/>
        <sz val="10"/>
        <color theme="0"/>
        <rFont val="Aptos Narrow"/>
        <family val="2"/>
        <scheme val="minor"/>
      </rPr>
      <t>t</t>
    </r>
    <r>
      <rPr>
        <b/>
        <i/>
        <sz val="10"/>
        <color theme="0"/>
        <rFont val="Aptos Narrow"/>
        <family val="2"/>
        <scheme val="minor"/>
      </rPr>
      <t xml:space="preserve"> (tCO2e)</t>
    </r>
  </si>
  <si>
    <t>BEBBt (tCO2e)</t>
  </si>
  <si>
    <r>
      <t>BRWP</t>
    </r>
    <r>
      <rPr>
        <b/>
        <i/>
        <vertAlign val="subscript"/>
        <sz val="10"/>
        <color theme="0"/>
        <rFont val="Aptos Narrow"/>
        <family val="2"/>
        <scheme val="minor"/>
      </rPr>
      <t>t</t>
    </r>
    <r>
      <rPr>
        <b/>
        <i/>
        <sz val="10"/>
        <color theme="0"/>
        <rFont val="Aptos Narrow"/>
        <family val="2"/>
        <scheme val="minor"/>
      </rPr>
      <t xml:space="preserve"> (tCO2e)</t>
    </r>
  </si>
  <si>
    <r>
      <t>BEFF</t>
    </r>
    <r>
      <rPr>
        <b/>
        <i/>
        <vertAlign val="subscript"/>
        <sz val="10"/>
        <color theme="0"/>
        <rFont val="Aptos Narrow"/>
        <family val="2"/>
        <scheme val="minor"/>
      </rPr>
      <t>t</t>
    </r>
    <r>
      <rPr>
        <b/>
        <i/>
        <sz val="10"/>
        <color theme="0"/>
        <rFont val="Aptos Narrow"/>
        <family val="2"/>
        <scheme val="minor"/>
      </rPr>
      <t xml:space="preserve"> (tCO2e)</t>
    </r>
  </si>
  <si>
    <r>
      <t>BRS</t>
    </r>
    <r>
      <rPr>
        <b/>
        <i/>
        <vertAlign val="subscript"/>
        <sz val="10"/>
        <color theme="0"/>
        <rFont val="Aptos Narrow"/>
        <family val="2"/>
        <scheme val="minor"/>
      </rPr>
      <t>t</t>
    </r>
    <r>
      <rPr>
        <b/>
        <i/>
        <sz val="10"/>
        <color theme="0"/>
        <rFont val="Aptos Narrow"/>
        <family val="2"/>
        <scheme val="minor"/>
      </rPr>
      <t xml:space="preserve"> (tCO2e)</t>
    </r>
  </si>
  <si>
    <t>BEt (tCO2e)</t>
  </si>
  <si>
    <t>PEFt (tCO2e)</t>
  </si>
  <si>
    <r>
      <t>PEN</t>
    </r>
    <r>
      <rPr>
        <b/>
        <i/>
        <vertAlign val="subscript"/>
        <sz val="10"/>
        <color theme="0"/>
        <rFont val="Aptos Narrow"/>
        <family val="2"/>
        <scheme val="minor"/>
      </rPr>
      <t>t</t>
    </r>
    <r>
      <rPr>
        <b/>
        <i/>
        <sz val="10"/>
        <color theme="0"/>
        <rFont val="Aptos Narrow"/>
        <family val="2"/>
        <scheme val="minor"/>
      </rPr>
      <t xml:space="preserve"> (tCO2e)</t>
    </r>
  </si>
  <si>
    <t>PEBBt (tCO2e)</t>
  </si>
  <si>
    <t>PRWPt(A+B+C) (tCO2e)</t>
  </si>
  <si>
    <r>
      <t>PEFF</t>
    </r>
    <r>
      <rPr>
        <b/>
        <i/>
        <vertAlign val="subscript"/>
        <sz val="10"/>
        <color theme="0"/>
        <rFont val="Aptos Narrow"/>
        <family val="2"/>
        <scheme val="minor"/>
      </rPr>
      <t>t</t>
    </r>
    <r>
      <rPr>
        <b/>
        <i/>
        <sz val="10"/>
        <color theme="0"/>
        <rFont val="Aptos Narrow"/>
        <family val="2"/>
        <scheme val="minor"/>
      </rPr>
      <t xml:space="preserve"> (tCO2e)</t>
    </r>
  </si>
  <si>
    <r>
      <t>PRS</t>
    </r>
    <r>
      <rPr>
        <b/>
        <i/>
        <vertAlign val="subscript"/>
        <sz val="10"/>
        <color theme="0"/>
        <rFont val="Aptos Narrow"/>
        <family val="2"/>
        <scheme val="minor"/>
      </rPr>
      <t>t</t>
    </r>
    <r>
      <rPr>
        <b/>
        <i/>
        <sz val="10"/>
        <color theme="0"/>
        <rFont val="Aptos Narrow"/>
        <family val="2"/>
        <scheme val="minor"/>
      </rPr>
      <t>(A+B+C) (tCO2e)</t>
    </r>
  </si>
  <si>
    <t>PEt  (tCO2e)</t>
  </si>
  <si>
    <t>LHEt (tCO2e)</t>
  </si>
  <si>
    <r>
      <t>ΔR</t>
    </r>
    <r>
      <rPr>
        <b/>
        <i/>
        <vertAlign val="subscript"/>
        <sz val="10"/>
        <color theme="0"/>
        <rFont val="Aptos Narrow"/>
        <family val="2"/>
        <scheme val="minor"/>
      </rPr>
      <t>t</t>
    </r>
    <r>
      <rPr>
        <b/>
        <i/>
        <sz val="10"/>
        <color theme="0"/>
        <rFont val="Aptos Narrow"/>
        <family val="2"/>
        <scheme val="minor"/>
      </rPr>
      <t xml:space="preserve"> (tCO2e)</t>
    </r>
  </si>
  <si>
    <t>Total VCUs</t>
  </si>
  <si>
    <t>Net C stock change</t>
  </si>
  <si>
    <t>Estimated net GHG emission reductions or removals (tCO2e)</t>
  </si>
  <si>
    <r>
      <t>BEF (tCO</t>
    </r>
    <r>
      <rPr>
        <b/>
        <vertAlign val="subscript"/>
        <sz val="10"/>
        <color theme="1"/>
        <rFont val="Aptos Narrow"/>
        <family val="2"/>
        <scheme val="minor"/>
      </rPr>
      <t>2</t>
    </r>
    <r>
      <rPr>
        <b/>
        <sz val="10"/>
        <color theme="1"/>
        <rFont val="Aptos Narrow"/>
        <family val="2"/>
        <scheme val="minor"/>
      </rPr>
      <t>e/ha)</t>
    </r>
  </si>
  <si>
    <t>CDM A/R tool for "Estimation of Direct Nitrous Oxide Emissions from Nitrogen Fertilization</t>
  </si>
  <si>
    <t>Buffer total</t>
  </si>
  <si>
    <t>2017*</t>
  </si>
  <si>
    <r>
      <t>PEF (tCO</t>
    </r>
    <r>
      <rPr>
        <b/>
        <vertAlign val="subscript"/>
        <sz val="10"/>
        <color theme="1"/>
        <rFont val="Aptos Narrow"/>
        <family val="2"/>
        <scheme val="minor"/>
      </rPr>
      <t>2</t>
    </r>
    <r>
      <rPr>
        <b/>
        <sz val="10"/>
        <color theme="1"/>
        <rFont val="Aptos Narrow"/>
        <family val="2"/>
        <scheme val="minor"/>
      </rPr>
      <t>e/ha)</t>
    </r>
  </si>
  <si>
    <t>VCUs</t>
  </si>
  <si>
    <t>Average -for project</t>
  </si>
  <si>
    <r>
      <t>BEBB (tCO</t>
    </r>
    <r>
      <rPr>
        <b/>
        <vertAlign val="subscript"/>
        <sz val="10"/>
        <color theme="1"/>
        <rFont val="Aptos Narrow"/>
        <family val="2"/>
        <scheme val="minor"/>
      </rPr>
      <t>2</t>
    </r>
    <r>
      <rPr>
        <b/>
        <sz val="10"/>
        <color theme="1"/>
        <rFont val="Aptos Narrow"/>
        <family val="2"/>
        <scheme val="minor"/>
      </rPr>
      <t>e/ha)</t>
    </r>
  </si>
  <si>
    <r>
      <t>PEBB (tCO</t>
    </r>
    <r>
      <rPr>
        <b/>
        <vertAlign val="subscript"/>
        <sz val="10"/>
        <color theme="1"/>
        <rFont val="Aptos Narrow"/>
        <family val="2"/>
        <scheme val="minor"/>
      </rPr>
      <t>2</t>
    </r>
    <r>
      <rPr>
        <b/>
        <sz val="10"/>
        <color theme="1"/>
        <rFont val="Aptos Narrow"/>
        <family val="2"/>
        <scheme val="minor"/>
      </rPr>
      <t>e/ha)</t>
    </r>
  </si>
  <si>
    <r>
      <t>BEFF (tCO</t>
    </r>
    <r>
      <rPr>
        <b/>
        <vertAlign val="subscript"/>
        <sz val="10"/>
        <color theme="1"/>
        <rFont val="Aptos Narrow"/>
        <family val="2"/>
        <scheme val="minor"/>
      </rPr>
      <t>2</t>
    </r>
    <r>
      <rPr>
        <b/>
        <sz val="10"/>
        <color theme="1"/>
        <rFont val="Aptos Narrow"/>
        <family val="2"/>
        <scheme val="minor"/>
      </rPr>
      <t>e/ha)</t>
    </r>
  </si>
  <si>
    <r>
      <t>PEFF (tCO</t>
    </r>
    <r>
      <rPr>
        <b/>
        <vertAlign val="subscript"/>
        <sz val="10"/>
        <color theme="1"/>
        <rFont val="Aptos Narrow"/>
        <family val="2"/>
        <scheme val="minor"/>
      </rPr>
      <t>2</t>
    </r>
    <r>
      <rPr>
        <b/>
        <sz val="10"/>
        <color theme="1"/>
        <rFont val="Aptos Narrow"/>
        <family val="2"/>
        <scheme val="minor"/>
      </rPr>
      <t>e/ha)</t>
    </r>
  </si>
  <si>
    <t>2047**</t>
  </si>
  <si>
    <t>Total estimated ERs</t>
  </si>
  <si>
    <t>Total number of crediting years</t>
  </si>
  <si>
    <t>Average annual ERs</t>
  </si>
  <si>
    <t>Crop area in ha</t>
  </si>
  <si>
    <r>
      <t>Baseline emissions due to fertilizer use, BEF</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</si>
  <si>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Project emissions due to fertilizer use, PEF</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</si>
  <si>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t>Agroforestry area in ha</t>
  </si>
  <si>
    <r>
      <t>Project removals from existing woody perennials, PRWP</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</si>
  <si>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Project removals due to changes in soil organic carbon, PRS</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</si>
  <si>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PRS</t>
    </r>
    <r>
      <rPr>
        <b/>
        <sz val="8"/>
        <color theme="0"/>
        <rFont val="Aptos Narrow"/>
        <family val="2"/>
        <scheme val="minor"/>
      </rPr>
      <t>Deduction,t</t>
    </r>
    <r>
      <rPr>
        <b/>
        <sz val="11"/>
        <color theme="0"/>
        <rFont val="Aptos Narrow"/>
        <family val="2"/>
        <scheme val="minor"/>
      </rPr>
      <t xml:space="preserve">  due to SOC tCO2e</t>
    </r>
  </si>
  <si>
    <t>PRSAdj, t for uncertanity due to SOC tCO2e</t>
  </si>
  <si>
    <t>1st Oct 2017</t>
  </si>
  <si>
    <t>-</t>
  </si>
  <si>
    <t>30th Sep 2022</t>
  </si>
  <si>
    <t xml:space="preserve">Total </t>
  </si>
  <si>
    <t>Baseline emission &amp; removals</t>
  </si>
  <si>
    <r>
      <t>Baseline emissions due to fossil fuel use, BEFF</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</si>
  <si>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Baseline emissions due to the use of N-fixing species, BEN</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</si>
  <si>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Baseline emissions due to biomass burning, BEBB</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</si>
  <si>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Baseline removals from existing woody perennials, BRWP</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</si>
  <si>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Baseline removals due to changes in soil organic carbon, BRS</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</si>
  <si>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Total baseline emissions and removals, BE</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</si>
  <si>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Total baseline GHG emissions (tCO</t>
    </r>
    <r>
      <rPr>
        <b/>
        <vertAlign val="subscript"/>
        <sz val="10.5"/>
        <color rgb="FFFFFFFF"/>
        <rFont val="Franklin Gothic Book"/>
        <family val="2"/>
      </rPr>
      <t>2</t>
    </r>
    <r>
      <rPr>
        <b/>
        <sz val="10.5"/>
        <color rgb="FFFFFFFF"/>
        <rFont val="Franklin Gothic Book"/>
        <family val="2"/>
      </rPr>
      <t>e)</t>
    </r>
  </si>
  <si>
    <t>Project emission &amp; removals</t>
  </si>
  <si>
    <r>
      <t>Project emissions due to fossil fuel use, PEFF</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</si>
  <si>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Project emissions due to the use of N-fixing species, PEN</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</si>
  <si>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Project emissions due to biomass burning, PEBB</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</si>
  <si>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r>
      <t>Total project emissions and removals, PE</t>
    </r>
    <r>
      <rPr>
        <b/>
        <vertAlign val="subscript"/>
        <sz val="10.5"/>
        <color rgb="FFFFFFFF"/>
        <rFont val="Franklin Gothic Book"/>
        <family val="2"/>
      </rPr>
      <t>t</t>
    </r>
    <r>
      <rPr>
        <b/>
        <sz val="10.5"/>
        <color rgb="FFFFFFFF"/>
        <rFont val="Franklin Gothic Book"/>
        <family val="2"/>
      </rPr>
      <t xml:space="preserve"> (tCO</t>
    </r>
    <r>
      <rPr>
        <b/>
        <vertAlign val="subscript"/>
        <sz val="10.5"/>
        <color rgb="FFFFFFFF"/>
        <rFont val="Franklin Gothic Book"/>
        <family val="2"/>
      </rPr>
      <t>2</t>
    </r>
    <r>
      <rPr>
        <b/>
        <sz val="10.5"/>
        <color rgb="FFFFFFFF"/>
        <rFont val="Franklin Gothic Book"/>
        <family val="2"/>
      </rPr>
      <t>e)</t>
    </r>
  </si>
  <si>
    <t>Net GHG emissions reductions and removals in this monitoring period</t>
  </si>
  <si>
    <r>
      <t>Baseline emissions or removals - BEt (tCO</t>
    </r>
    <r>
      <rPr>
        <b/>
        <vertAlign val="subscript"/>
        <sz val="10.5"/>
        <color rgb="FFFFFFFF"/>
        <rFont val="Franklin Gothic Book"/>
        <family val="2"/>
      </rPr>
      <t>2</t>
    </r>
    <r>
      <rPr>
        <b/>
        <sz val="10.5"/>
        <color rgb="FFFFFFFF"/>
        <rFont val="Franklin Gothic Book"/>
        <family val="2"/>
      </rPr>
      <t>e)</t>
    </r>
  </si>
  <si>
    <r>
      <t xml:space="preserve"> Project emissions or removals - PEt (tCO</t>
    </r>
    <r>
      <rPr>
        <b/>
        <vertAlign val="subscript"/>
        <sz val="10.5"/>
        <color rgb="FFFFFFFF"/>
        <rFont val="Franklin Gothic Book"/>
        <family val="2"/>
      </rPr>
      <t>2</t>
    </r>
    <r>
      <rPr>
        <b/>
        <sz val="10.5"/>
        <color rgb="FFFFFFFF"/>
        <rFont val="Franklin Gothic Book"/>
        <family val="2"/>
      </rPr>
      <t>e)</t>
    </r>
  </si>
  <si>
    <r>
      <t xml:space="preserve">   Leakage emissions - LHEt (tCO</t>
    </r>
    <r>
      <rPr>
        <b/>
        <vertAlign val="subscript"/>
        <sz val="10.5"/>
        <color rgb="FFFFFFFF"/>
        <rFont val="Franklin Gothic Book"/>
        <family val="2"/>
      </rPr>
      <t>2</t>
    </r>
    <r>
      <rPr>
        <b/>
        <sz val="10.5"/>
        <color rgb="FFFFFFFF"/>
        <rFont val="Franklin Gothic Book"/>
        <family val="2"/>
      </rPr>
      <t>e)</t>
    </r>
  </si>
  <si>
    <r>
      <t xml:space="preserve"> Net GHG emission reductions or removals  - ΔR t (tCO</t>
    </r>
    <r>
      <rPr>
        <b/>
        <vertAlign val="subscript"/>
        <sz val="10.5"/>
        <color rgb="FFFFFFFF"/>
        <rFont val="Franklin Gothic Book"/>
        <family val="2"/>
      </rPr>
      <t>2</t>
    </r>
    <r>
      <rPr>
        <b/>
        <sz val="10.5"/>
        <color rgb="FFFFFFFF"/>
        <rFont val="Franklin Gothic Book"/>
        <family val="2"/>
      </rPr>
      <t>e)</t>
    </r>
  </si>
  <si>
    <r>
      <t>Baseline emissions or removals (tCO</t>
    </r>
    <r>
      <rPr>
        <b/>
        <vertAlign val="subscript"/>
        <sz val="10.5"/>
        <color rgb="FFFFFFFF"/>
        <rFont val="Franklin Gothic Book"/>
        <family val="2"/>
      </rPr>
      <t>2</t>
    </r>
    <r>
      <rPr>
        <b/>
        <sz val="10.5"/>
        <color rgb="FFFFFFFF"/>
        <rFont val="Franklin Gothic Book"/>
        <family val="2"/>
      </rPr>
      <t>e)</t>
    </r>
  </si>
  <si>
    <r>
      <t>Project emissions or removals (tCO</t>
    </r>
    <r>
      <rPr>
        <b/>
        <vertAlign val="subscript"/>
        <sz val="10.5"/>
        <color rgb="FFFFFFFF"/>
        <rFont val="Franklin Gothic Book"/>
        <family val="2"/>
      </rPr>
      <t>2</t>
    </r>
    <r>
      <rPr>
        <b/>
        <sz val="10.5"/>
        <color rgb="FFFFFFFF"/>
        <rFont val="Franklin Gothic Book"/>
        <family val="2"/>
      </rPr>
      <t>e)</t>
    </r>
  </si>
  <si>
    <r>
      <t>Leakage emissions (tCO</t>
    </r>
    <r>
      <rPr>
        <b/>
        <vertAlign val="subscript"/>
        <sz val="10.5"/>
        <color rgb="FFFFFFFF"/>
        <rFont val="Franklin Gothic Book"/>
        <family val="2"/>
      </rPr>
      <t>2</t>
    </r>
    <r>
      <rPr>
        <b/>
        <sz val="10.5"/>
        <color rgb="FFFFFFFF"/>
        <rFont val="Franklin Gothic Book"/>
        <family val="2"/>
      </rPr>
      <t>e)</t>
    </r>
  </si>
  <si>
    <r>
      <t>Net GHG emission reductions or removals (tCO</t>
    </r>
    <r>
      <rPr>
        <b/>
        <vertAlign val="subscript"/>
        <sz val="10.5"/>
        <color rgb="FFFFFFFF"/>
        <rFont val="Franklin Gothic Book"/>
        <family val="2"/>
      </rPr>
      <t>2</t>
    </r>
    <r>
      <rPr>
        <b/>
        <sz val="10.5"/>
        <color rgb="FFFFFFFF"/>
        <rFont val="Franklin Gothic Book"/>
        <family val="2"/>
      </rPr>
      <t>e)</t>
    </r>
  </si>
  <si>
    <t>NPRR Buffer %</t>
  </si>
  <si>
    <t>Buffer pool allocation</t>
  </si>
  <si>
    <t>VCUs eligible for Issuance</t>
  </si>
  <si>
    <t>Equation -15</t>
  </si>
  <si>
    <t>Equation -16</t>
  </si>
  <si>
    <t>Equation - 17</t>
  </si>
  <si>
    <t>SL_No</t>
  </si>
  <si>
    <t>Year(t)</t>
  </si>
  <si>
    <r>
      <t>PRS</t>
    </r>
    <r>
      <rPr>
        <b/>
        <sz val="9"/>
        <color theme="0"/>
        <rFont val="Aptos Narrow"/>
        <family val="2"/>
        <scheme val="minor"/>
      </rPr>
      <t>t</t>
    </r>
    <r>
      <rPr>
        <b/>
        <sz val="11"/>
        <color theme="0"/>
        <rFont val="Aptos Narrow"/>
        <family val="2"/>
        <scheme val="minor"/>
      </rPr>
      <t xml:space="preserve"> tco2e</t>
    </r>
  </si>
  <si>
    <r>
      <t>PRSt</t>
    </r>
    <r>
      <rPr>
        <b/>
        <sz val="8"/>
        <color theme="0"/>
        <rFont val="Aptos Narrow"/>
        <family val="2"/>
        <scheme val="minor"/>
      </rPr>
      <t>max (tco2e)</t>
    </r>
  </si>
  <si>
    <r>
      <t>PRSt</t>
    </r>
    <r>
      <rPr>
        <b/>
        <sz val="8"/>
        <color theme="0"/>
        <rFont val="Aptos Narrow"/>
        <family val="2"/>
        <scheme val="minor"/>
      </rPr>
      <t>min</t>
    </r>
    <r>
      <rPr>
        <b/>
        <sz val="11"/>
        <color theme="0"/>
        <rFont val="Aptos Narrow"/>
        <family val="2"/>
        <scheme val="minor"/>
      </rPr>
      <t xml:space="preserve"> (tco2e)</t>
    </r>
  </si>
  <si>
    <r>
      <t>UNC</t>
    </r>
    <r>
      <rPr>
        <b/>
        <sz val="9"/>
        <color theme="0"/>
        <rFont val="Aptos Narrow"/>
        <family val="2"/>
        <scheme val="minor"/>
      </rPr>
      <t>t</t>
    </r>
    <r>
      <rPr>
        <b/>
        <sz val="11"/>
        <color theme="0"/>
        <rFont val="Aptos Narrow"/>
        <family val="2"/>
        <scheme val="minor"/>
      </rPr>
      <t xml:space="preserve"> (%)</t>
    </r>
  </si>
  <si>
    <r>
      <t>UNC</t>
    </r>
    <r>
      <rPr>
        <b/>
        <sz val="9"/>
        <color theme="0"/>
        <rFont val="Aptos Narrow"/>
        <family val="2"/>
        <scheme val="minor"/>
      </rPr>
      <t>t</t>
    </r>
  </si>
  <si>
    <r>
      <t>PRS</t>
    </r>
    <r>
      <rPr>
        <sz val="8"/>
        <color theme="0"/>
        <rFont val="Aptos Narrow"/>
        <family val="2"/>
        <scheme val="minor"/>
      </rPr>
      <t>Deduction,t</t>
    </r>
    <r>
      <rPr>
        <b/>
        <sz val="11"/>
        <color theme="0"/>
        <rFont val="Aptos Narrow"/>
        <family val="2"/>
        <scheme val="minor"/>
      </rPr>
      <t xml:space="preserve">  due to SOC tCO2e</t>
    </r>
  </si>
  <si>
    <r>
      <t>PRS</t>
    </r>
    <r>
      <rPr>
        <b/>
        <sz val="9"/>
        <color theme="0"/>
        <rFont val="Aptos Narrow"/>
        <family val="2"/>
        <scheme val="minor"/>
      </rPr>
      <t>t</t>
    </r>
    <r>
      <rPr>
        <b/>
        <sz val="11"/>
        <color theme="0"/>
        <rFont val="Aptos Narrow"/>
        <family val="2"/>
        <scheme val="minor"/>
      </rPr>
      <t xml:space="preserve"> </t>
    </r>
    <r>
      <rPr>
        <b/>
        <sz val="8"/>
        <color theme="0"/>
        <rFont val="Aptos Narrow"/>
        <family val="2"/>
        <scheme val="minor"/>
      </rPr>
      <t>tco2e</t>
    </r>
  </si>
  <si>
    <r>
      <t>PRS</t>
    </r>
    <r>
      <rPr>
        <b/>
        <sz val="8"/>
        <color theme="0"/>
        <rFont val="Aptos Narrow"/>
        <family val="2"/>
        <scheme val="minor"/>
      </rPr>
      <t>Deduction,t</t>
    </r>
    <r>
      <rPr>
        <b/>
        <sz val="11"/>
        <color theme="0"/>
        <rFont val="Aptos Narrow"/>
        <family val="2"/>
        <scheme val="minor"/>
      </rPr>
      <t xml:space="preserve"> due to SOC tCO2e</t>
    </r>
  </si>
  <si>
    <r>
      <t>PRS</t>
    </r>
    <r>
      <rPr>
        <b/>
        <sz val="8"/>
        <color theme="0"/>
        <rFont val="Aptos Narrow"/>
        <family val="2"/>
        <scheme val="minor"/>
      </rPr>
      <t>Adj, t</t>
    </r>
    <r>
      <rPr>
        <b/>
        <sz val="11"/>
        <color theme="0"/>
        <rFont val="Aptos Narrow"/>
        <family val="2"/>
        <scheme val="minor"/>
      </rPr>
      <t xml:space="preserve"> for uncertanity due to SOC tCO2e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</si>
</sst>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_);_(* \(#,##0\);_(* &quot;-&quot;??_);_(@_)"/>
    <numFmt numFmtId="166" formatCode="#,##0.000"/>
    <numFmt numFmtId="167" formatCode="#,##0.0000"/>
    <numFmt numFmtId="168" formatCode="_(* #,##0.0_);_(* \(#,##0.0\);_(* &quot;-&quot;??_);_(@_)"/>
    <numFmt numFmtId="169" formatCode="0.000"/>
    <numFmt numFmtId="170" formatCode="_ * #,##0_ ;_ * \-#,##0_ ;_ * &quot;-&quot;??_ ;_ @_ "/>
    <numFmt numFmtId="171" formatCode="0.0"/>
  </numFmts>
  <fonts count="48">
    <font>
      <sz val="11"/>
      <color theme="1"/>
      <name val="Aptos Narrow"/>
      <family val="2"/>
      <scheme val="minor"/>
    </font>
    <font>
      <sz val="11"/>
      <color theme="1"/>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sz val="11"/>
      <color theme="0"/>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sz val="10"/>
      <color theme="0"/>
      <name val="Aptos Narrow"/>
      <family val="2"/>
      <scheme val="minor"/>
    </font>
    <font>
      <sz val="10"/>
      <color rgb="FFFA7D00"/>
      <name val="Aptos Narrow"/>
      <family val="2"/>
      <scheme val="minor"/>
    </font>
    <font>
      <b/>
      <sz val="10"/>
      <color rgb="FFFA7D00"/>
      <name val="Aptos Narrow"/>
      <family val="2"/>
      <scheme val="minor"/>
    </font>
    <font>
      <sz val="10"/>
      <color rgb="FFFF0000"/>
      <name val="Aptos Narrow"/>
      <family val="2"/>
      <scheme val="minor"/>
    </font>
    <font>
      <b/>
      <sz val="12"/>
      <color theme="1"/>
      <name val="Aptos Narrow"/>
      <family val="2"/>
      <scheme val="minor"/>
    </font>
    <font>
      <b/>
      <sz val="10.5"/>
      <color rgb="FFFFFFFF"/>
      <name val="Franklin Gothic Book"/>
      <family val="2"/>
    </font>
    <font>
      <b/>
      <vertAlign val="subscript"/>
      <sz val="10.5"/>
      <color rgb="FFFFFFFF"/>
      <name val="Franklin Gothic Book"/>
      <family val="2"/>
    </font>
    <font>
      <sz val="10.5"/>
      <color rgb="FF000000"/>
      <name val="Franklin Gothic Book"/>
      <family val="2"/>
    </font>
    <font>
      <sz val="10.5"/>
      <name val="Franklin Gothic Book"/>
      <family val="2"/>
    </font>
    <font>
      <b/>
      <sz val="10.5"/>
      <color rgb="FF000000"/>
      <name val="Franklin Gothic Book"/>
      <family val="2"/>
    </font>
    <font>
      <b/>
      <sz val="10.5"/>
      <name val="Franklin Gothic Book"/>
      <family val="2"/>
    </font>
    <font>
      <b/>
      <sz val="11"/>
      <color theme="1"/>
      <name val="Aptos Narrow"/>
      <family val="2"/>
      <scheme val="minor"/>
    </font>
    <font>
      <sz val="9"/>
      <color indexed="81"/>
      <name val="Tahoma"/>
      <family val="2"/>
    </font>
    <font>
      <b/>
      <sz val="9"/>
      <color indexed="81"/>
      <name val="Tahoma"/>
      <family val="2"/>
    </font>
    <font>
      <b/>
      <sz val="14"/>
      <color theme="1"/>
      <name val="Aptos Narrow"/>
      <family val="2"/>
      <scheme val="minor"/>
    </font>
    <font>
      <b/>
      <sz val="10"/>
      <color theme="0"/>
      <name val="Aptos Narrow"/>
      <family val="2"/>
      <scheme val="minor"/>
    </font>
    <font>
      <b/>
      <i/>
      <sz val="10"/>
      <color theme="0"/>
      <name val="Aptos Narrow"/>
      <family val="2"/>
      <scheme val="minor"/>
    </font>
    <font>
      <b/>
      <i/>
      <vertAlign val="subscript"/>
      <sz val="10"/>
      <color theme="0"/>
      <name val="Aptos Narrow"/>
      <family val="2"/>
      <scheme val="minor"/>
    </font>
    <font>
      <sz val="11"/>
      <color rgb="FFFF0000"/>
      <name val="Calibri"/>
      <family val="2"/>
    </font>
    <font>
      <vertAlign val="subscript"/>
      <sz val="10"/>
      <color theme="1"/>
      <name val="Aptos Narrow"/>
      <family val="2"/>
      <scheme val="minor"/>
    </font>
    <font>
      <b/>
      <sz val="11"/>
      <color theme="1"/>
      <name val="Calibri"/>
      <family val="2"/>
    </font>
    <font>
      <b/>
      <vertAlign val="subscript"/>
      <sz val="10"/>
      <color theme="1"/>
      <name val="Aptos Narrow"/>
      <family val="2"/>
      <scheme val="minor"/>
    </font>
    <font>
      <sz val="8"/>
      <name val="Aptos Narrow"/>
      <family val="2"/>
      <scheme val="minor"/>
    </font>
    <font>
      <sz val="10.5"/>
      <color rgb="FF4F5150"/>
      <name val="Franklin Gothic Book"/>
      <family val="2"/>
    </font>
    <font>
      <b/>
      <sz val="10.5"/>
      <color rgb="FF404040"/>
      <name val="Franklin Gothic Book"/>
      <family val="2"/>
    </font>
    <font>
      <b/>
      <sz val="11"/>
      <color rgb="FFFF0000"/>
      <name val="Aptos Narrow"/>
      <family val="2"/>
      <scheme val="minor"/>
    </font>
    <font>
      <b/>
      <sz val="24"/>
      <color theme="1"/>
      <name val="Aptos Narrow"/>
      <family val="2"/>
      <scheme val="minor"/>
    </font>
    <font>
      <b/>
      <sz val="16"/>
      <color theme="1"/>
      <name val="Aptos Narrow"/>
      <family val="2"/>
      <scheme val="minor"/>
    </font>
    <font>
      <sz val="11"/>
      <color rgb="FF000000"/>
      <name val="Calibri"/>
      <family val="2"/>
    </font>
    <font>
      <b/>
      <sz val="11"/>
      <color theme="0"/>
      <name val="Aptos Narrow"/>
      <family val="2"/>
      <scheme val="minor"/>
    </font>
    <font>
      <b/>
      <sz val="10.5"/>
      <color theme="0"/>
      <name val="Franklin Gothic Book"/>
      <family val="2"/>
    </font>
    <font>
      <b/>
      <sz val="8"/>
      <color theme="0"/>
      <name val="Aptos Narrow"/>
      <family val="2"/>
      <scheme val="minor"/>
    </font>
    <font>
      <b/>
      <sz val="9"/>
      <color theme="0"/>
      <name val="Aptos Narrow"/>
      <family val="2"/>
      <scheme val="minor"/>
    </font>
    <font>
      <sz val="8"/>
      <color theme="0"/>
      <name val="Aptos Narrow"/>
      <family val="2"/>
      <scheme val="minor"/>
    </font>
    <font>
      <sz val="9"/>
      <color indexed="81"/>
      <name val="Tahoma"/>
      <charset val="1"/>
    </font>
    <font>
      <b/>
      <sz val="9"/>
      <color indexed="81"/>
      <name val="Tahoma"/>
      <charset val="1"/>
    </font>
  </fonts>
  <fills count="23">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theme="9"/>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2B3957"/>
        <bgColor indexed="64"/>
      </patternFill>
    </fill>
    <fill>
      <patternFill patternType="solid">
        <fgColor rgb="FFF2F2F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9.9978637043366805E-2"/>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2B3A57"/>
        <bgColor indexed="64"/>
      </patternFill>
    </fill>
    <fill>
      <patternFill patternType="solid">
        <fgColor rgb="FFFFFF00"/>
        <bgColor indexed="64"/>
      </patternFill>
    </fill>
    <fill>
      <patternFill patternType="solid">
        <fgColor theme="9" tint="0.59999389629810485"/>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medium">
        <color rgb="FFFFFFFF"/>
      </left>
      <right style="medium">
        <color rgb="FFFFFFFF"/>
      </right>
      <top style="medium">
        <color rgb="FFFFFFFF"/>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1" applyNumberFormat="0" applyAlignment="0" applyProtection="0"/>
    <xf numFmtId="0" fontId="4" fillId="4" borderId="2" applyNumberFormat="0" applyAlignment="0" applyProtection="0"/>
    <xf numFmtId="0" fontId="5" fillId="4" borderId="1" applyNumberFormat="0" applyAlignment="0" applyProtection="0"/>
    <xf numFmtId="0" fontId="6" fillId="0" borderId="3" applyNumberFormat="0" applyFill="0" applyAlignment="0" applyProtection="0"/>
    <xf numFmtId="0" fontId="7" fillId="5" borderId="0" applyNumberFormat="0" applyBorder="0" applyAlignment="0" applyProtection="0"/>
  </cellStyleXfs>
  <cellXfs count="169">
    <xf numFmtId="0" fontId="0" fillId="0" borderId="0" xfId="0"/>
    <xf numFmtId="0" fontId="8" fillId="0" borderId="0" xfId="0" applyFont="1"/>
    <xf numFmtId="0" fontId="9" fillId="0" borderId="0" xfId="0" applyFont="1"/>
    <xf numFmtId="165" fontId="8" fillId="0" borderId="0" xfId="1" applyNumberFormat="1" applyFont="1"/>
    <xf numFmtId="165" fontId="8" fillId="0" borderId="0" xfId="1" applyNumberFormat="1" applyFont="1" applyFill="1"/>
    <xf numFmtId="165" fontId="8" fillId="0" borderId="0" xfId="1" applyNumberFormat="1" applyFont="1" applyAlignment="1">
      <alignment wrapText="1"/>
    </xf>
    <xf numFmtId="3" fontId="9" fillId="0" borderId="0" xfId="1" applyNumberFormat="1" applyFont="1"/>
    <xf numFmtId="3" fontId="9" fillId="0" borderId="0" xfId="0" applyNumberFormat="1" applyFont="1"/>
    <xf numFmtId="167" fontId="8" fillId="0" borderId="0" xfId="0" applyNumberFormat="1" applyFont="1"/>
    <xf numFmtId="164" fontId="8" fillId="0" borderId="0" xfId="1" applyFont="1"/>
    <xf numFmtId="0" fontId="8" fillId="8" borderId="0" xfId="0" applyFont="1" applyFill="1"/>
    <xf numFmtId="3" fontId="9" fillId="6" borderId="0" xfId="1" applyNumberFormat="1" applyFont="1" applyFill="1" applyBorder="1"/>
    <xf numFmtId="3" fontId="9" fillId="7" borderId="0" xfId="1" applyNumberFormat="1" applyFont="1" applyFill="1" applyBorder="1"/>
    <xf numFmtId="3" fontId="9" fillId="8" borderId="0" xfId="1" applyNumberFormat="1" applyFont="1" applyFill="1" applyBorder="1"/>
    <xf numFmtId="168" fontId="8" fillId="0" borderId="0" xfId="1" applyNumberFormat="1" applyFont="1"/>
    <xf numFmtId="165" fontId="15" fillId="0" borderId="0" xfId="1" applyNumberFormat="1" applyFont="1"/>
    <xf numFmtId="3" fontId="8" fillId="0" borderId="0" xfId="0" applyNumberFormat="1" applyFont="1"/>
    <xf numFmtId="3" fontId="0" fillId="0" borderId="0" xfId="0" applyNumberFormat="1"/>
    <xf numFmtId="0" fontId="23" fillId="6" borderId="4" xfId="0" applyFont="1" applyFill="1" applyBorder="1" applyAlignment="1">
      <alignment horizontal="center" vertical="center"/>
    </xf>
    <xf numFmtId="0" fontId="23" fillId="6" borderId="4" xfId="0" applyFont="1" applyFill="1" applyBorder="1" applyAlignment="1">
      <alignment horizontal="left" vertical="center"/>
    </xf>
    <xf numFmtId="0" fontId="0" fillId="12" borderId="4" xfId="0" applyFill="1" applyBorder="1"/>
    <xf numFmtId="0" fontId="23" fillId="14" borderId="4" xfId="0" applyFont="1" applyFill="1" applyBorder="1" applyAlignment="1">
      <alignment horizontal="center" vertical="center"/>
    </xf>
    <xf numFmtId="0" fontId="23" fillId="14" borderId="4" xfId="0" applyFont="1" applyFill="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165" fontId="28" fillId="15" borderId="4" xfId="1" applyNumberFormat="1" applyFont="1" applyFill="1" applyBorder="1"/>
    <xf numFmtId="3" fontId="11" fillId="16" borderId="4" xfId="6" applyNumberFormat="1" applyFont="1" applyFill="1" applyBorder="1"/>
    <xf numFmtId="3" fontId="11" fillId="16" borderId="4" xfId="5" applyNumberFormat="1" applyFont="1" applyFill="1" applyBorder="1"/>
    <xf numFmtId="3" fontId="10" fillId="17" borderId="0" xfId="1" applyNumberFormat="1" applyFont="1" applyFill="1"/>
    <xf numFmtId="3" fontId="8" fillId="17" borderId="0" xfId="1" applyNumberFormat="1" applyFont="1" applyFill="1"/>
    <xf numFmtId="3" fontId="9" fillId="17" borderId="0" xfId="1" applyNumberFormat="1" applyFont="1" applyFill="1"/>
    <xf numFmtId="3" fontId="8" fillId="16" borderId="4" xfId="1" applyNumberFormat="1" applyFont="1" applyFill="1" applyBorder="1"/>
    <xf numFmtId="3" fontId="10" fillId="16" borderId="4" xfId="1" applyNumberFormat="1" applyFont="1" applyFill="1" applyBorder="1"/>
    <xf numFmtId="3" fontId="10" fillId="16" borderId="4" xfId="6" applyNumberFormat="1" applyFont="1" applyFill="1" applyBorder="1"/>
    <xf numFmtId="4" fontId="11" fillId="18" borderId="4" xfId="0" applyNumberFormat="1" applyFont="1" applyFill="1" applyBorder="1" applyAlignment="1">
      <alignment horizontal="center"/>
    </xf>
    <xf numFmtId="4" fontId="10" fillId="18" borderId="4" xfId="0" applyNumberFormat="1" applyFont="1" applyFill="1" applyBorder="1" applyAlignment="1">
      <alignment horizontal="center"/>
    </xf>
    <xf numFmtId="14" fontId="10" fillId="18" borderId="4" xfId="0" applyNumberFormat="1" applyFont="1" applyFill="1" applyBorder="1" applyAlignment="1">
      <alignment horizontal="center" vertical="center"/>
    </xf>
    <xf numFmtId="3" fontId="8" fillId="16" borderId="4" xfId="1" applyNumberFormat="1" applyFont="1" applyFill="1" applyBorder="1" applyAlignment="1">
      <alignment horizontal="center" vertical="center"/>
    </xf>
    <xf numFmtId="165" fontId="8" fillId="0" borderId="0" xfId="1" applyNumberFormat="1" applyFont="1" applyFill="1" applyAlignment="1">
      <alignment horizontal="center" vertical="center"/>
    </xf>
    <xf numFmtId="0" fontId="8" fillId="0" borderId="0" xfId="0" applyFont="1" applyAlignment="1">
      <alignment horizontal="center" vertical="center"/>
    </xf>
    <xf numFmtId="0" fontId="10" fillId="18" borderId="4" xfId="0" applyFont="1" applyFill="1" applyBorder="1" applyAlignment="1">
      <alignment horizontal="center" vertical="center"/>
    </xf>
    <xf numFmtId="165" fontId="8" fillId="0" borderId="4" xfId="1" applyNumberFormat="1" applyFont="1" applyBorder="1"/>
    <xf numFmtId="0" fontId="8" fillId="0" borderId="0" xfId="0" quotePrefix="1" applyFont="1"/>
    <xf numFmtId="0" fontId="23" fillId="0" borderId="0" xfId="0" applyFont="1" applyAlignment="1">
      <alignment horizontal="center"/>
    </xf>
    <xf numFmtId="0" fontId="23" fillId="0" borderId="0" xfId="0" applyFont="1" applyAlignment="1">
      <alignment horizontal="center" vertical="center"/>
    </xf>
    <xf numFmtId="0" fontId="0" fillId="0" borderId="0" xfId="0" applyAlignment="1">
      <alignment wrapText="1"/>
    </xf>
    <xf numFmtId="0" fontId="0" fillId="6" borderId="10" xfId="0" applyFill="1" applyBorder="1" applyAlignment="1">
      <alignment horizontal="center" vertical="center"/>
    </xf>
    <xf numFmtId="164" fontId="11" fillId="0" borderId="0" xfId="1" applyFont="1" applyFill="1" applyBorder="1"/>
    <xf numFmtId="2" fontId="0" fillId="0" borderId="0" xfId="0" applyNumberFormat="1"/>
    <xf numFmtId="0" fontId="17" fillId="9" borderId="4" xfId="0" applyFont="1" applyFill="1" applyBorder="1" applyAlignment="1">
      <alignment horizontal="center" vertical="center" wrapText="1"/>
    </xf>
    <xf numFmtId="0" fontId="17" fillId="9" borderId="4" xfId="0" applyFont="1" applyFill="1" applyBorder="1" applyAlignment="1">
      <alignment vertical="center" wrapText="1"/>
    </xf>
    <xf numFmtId="0" fontId="19" fillId="10" borderId="4" xfId="0" applyFont="1" applyFill="1" applyBorder="1" applyAlignment="1">
      <alignment horizontal="center" vertical="center" wrapText="1"/>
    </xf>
    <xf numFmtId="3" fontId="20" fillId="10" borderId="4" xfId="0" applyNumberFormat="1" applyFont="1" applyFill="1" applyBorder="1" applyAlignment="1">
      <alignment vertical="center" wrapText="1"/>
    </xf>
    <xf numFmtId="0" fontId="19" fillId="10" borderId="4" xfId="0" applyFont="1" applyFill="1" applyBorder="1" applyAlignment="1">
      <alignment vertical="center" wrapText="1"/>
    </xf>
    <xf numFmtId="1" fontId="19" fillId="10" borderId="4" xfId="0" applyNumberFormat="1" applyFont="1" applyFill="1" applyBorder="1" applyAlignment="1">
      <alignment vertical="center" wrapText="1"/>
    </xf>
    <xf numFmtId="3" fontId="19" fillId="10" borderId="4" xfId="0" applyNumberFormat="1" applyFont="1" applyFill="1" applyBorder="1" applyAlignment="1">
      <alignment vertical="center" wrapText="1"/>
    </xf>
    <xf numFmtId="3" fontId="22" fillId="10" borderId="4" xfId="0" applyNumberFormat="1" applyFont="1" applyFill="1" applyBorder="1" applyAlignment="1">
      <alignment vertical="center" wrapText="1"/>
    </xf>
    <xf numFmtId="0" fontId="21" fillId="10" borderId="4" xfId="0" applyFont="1" applyFill="1" applyBorder="1" applyAlignment="1">
      <alignment horizontal="center" vertical="center" wrapText="1"/>
    </xf>
    <xf numFmtId="9" fontId="19" fillId="10" borderId="4" xfId="0" applyNumberFormat="1" applyFont="1" applyFill="1" applyBorder="1" applyAlignment="1">
      <alignment vertical="center" wrapText="1"/>
    </xf>
    <xf numFmtId="3" fontId="11" fillId="18" borderId="4" xfId="0" applyNumberFormat="1" applyFont="1" applyFill="1" applyBorder="1" applyAlignment="1">
      <alignment horizontal="center" vertical="center"/>
    </xf>
    <xf numFmtId="3" fontId="10" fillId="18" borderId="4" xfId="0" applyNumberFormat="1" applyFont="1" applyFill="1" applyBorder="1" applyAlignment="1">
      <alignment horizontal="center" vertical="center"/>
    </xf>
    <xf numFmtId="170" fontId="0" fillId="0" borderId="4" xfId="1" applyNumberFormat="1" applyFont="1" applyBorder="1"/>
    <xf numFmtId="170" fontId="23" fillId="0" borderId="4" xfId="1" applyNumberFormat="1" applyFont="1" applyBorder="1"/>
    <xf numFmtId="170" fontId="0" fillId="0" borderId="4" xfId="1" applyNumberFormat="1" applyFont="1" applyBorder="1" applyAlignment="1">
      <alignment horizontal="right"/>
    </xf>
    <xf numFmtId="170" fontId="23" fillId="0" borderId="4" xfId="1" applyNumberFormat="1" applyFont="1" applyBorder="1" applyAlignment="1">
      <alignment horizontal="right"/>
    </xf>
    <xf numFmtId="170" fontId="0" fillId="0" borderId="0" xfId="0" applyNumberFormat="1"/>
    <xf numFmtId="0" fontId="30" fillId="0" borderId="0" xfId="0" applyFont="1" applyAlignment="1">
      <alignment wrapText="1"/>
    </xf>
    <xf numFmtId="166" fontId="13" fillId="0" borderId="4" xfId="7" applyNumberFormat="1" applyFont="1" applyBorder="1"/>
    <xf numFmtId="166" fontId="14" fillId="4" borderId="4" xfId="6" applyNumberFormat="1" applyFont="1" applyBorder="1"/>
    <xf numFmtId="0" fontId="14" fillId="4" borderId="4" xfId="6" applyFont="1" applyBorder="1"/>
    <xf numFmtId="166" fontId="8" fillId="0" borderId="4" xfId="7" applyNumberFormat="1" applyFont="1" applyBorder="1"/>
    <xf numFmtId="166" fontId="8" fillId="0" borderId="4" xfId="7" applyNumberFormat="1" applyFont="1" applyFill="1" applyBorder="1"/>
    <xf numFmtId="165" fontId="8" fillId="14" borderId="4" xfId="8" applyNumberFormat="1" applyFont="1" applyFill="1" applyBorder="1"/>
    <xf numFmtId="165" fontId="9" fillId="14" borderId="5" xfId="8" applyNumberFormat="1" applyFont="1" applyFill="1" applyBorder="1"/>
    <xf numFmtId="0" fontId="9" fillId="14" borderId="4" xfId="3" applyFont="1" applyFill="1" applyBorder="1"/>
    <xf numFmtId="165" fontId="9" fillId="14" borderId="4" xfId="8" applyNumberFormat="1" applyFont="1" applyFill="1" applyBorder="1"/>
    <xf numFmtId="0" fontId="21" fillId="10" borderId="4" xfId="0" applyFont="1" applyFill="1" applyBorder="1" applyAlignment="1">
      <alignment vertical="center" wrapText="1"/>
    </xf>
    <xf numFmtId="170" fontId="8" fillId="0" borderId="4" xfId="1" applyNumberFormat="1" applyFont="1" applyBorder="1" applyAlignment="1">
      <alignment horizontal="center" vertical="center"/>
    </xf>
    <xf numFmtId="3" fontId="10" fillId="16" borderId="4" xfId="6" applyNumberFormat="1" applyFont="1" applyFill="1" applyBorder="1" applyAlignment="1">
      <alignment horizontal="center"/>
    </xf>
    <xf numFmtId="170" fontId="0" fillId="0" borderId="4" xfId="1" applyNumberFormat="1" applyFont="1" applyBorder="1" applyAlignment="1">
      <alignment horizontal="center" vertical="center"/>
    </xf>
    <xf numFmtId="170" fontId="0" fillId="0" borderId="4" xfId="1" applyNumberFormat="1" applyFont="1" applyBorder="1" applyAlignment="1">
      <alignment vertical="center"/>
    </xf>
    <xf numFmtId="170" fontId="23" fillId="0" borderId="4" xfId="1" applyNumberFormat="1" applyFont="1" applyBorder="1" applyAlignment="1">
      <alignment vertical="center"/>
    </xf>
    <xf numFmtId="0" fontId="0" fillId="0" borderId="4" xfId="0" applyBorder="1"/>
    <xf numFmtId="3" fontId="11" fillId="4" borderId="12" xfId="6" applyNumberFormat="1" applyFont="1" applyBorder="1"/>
    <xf numFmtId="0" fontId="27" fillId="15" borderId="4" xfId="0" applyFont="1" applyFill="1" applyBorder="1"/>
    <xf numFmtId="165" fontId="27" fillId="15" borderId="4" xfId="6" applyNumberFormat="1" applyFont="1" applyFill="1" applyBorder="1"/>
    <xf numFmtId="3" fontId="11" fillId="4" borderId="4" xfId="6" applyNumberFormat="1" applyFont="1" applyBorder="1"/>
    <xf numFmtId="3" fontId="9" fillId="6" borderId="4" xfId="1" applyNumberFormat="1" applyFont="1" applyFill="1" applyBorder="1"/>
    <xf numFmtId="3" fontId="11" fillId="7" borderId="4" xfId="1" applyNumberFormat="1" applyFont="1" applyFill="1" applyBorder="1"/>
    <xf numFmtId="3" fontId="9" fillId="8" borderId="4" xfId="1" applyNumberFormat="1" applyFont="1" applyFill="1" applyBorder="1"/>
    <xf numFmtId="3" fontId="9" fillId="7" borderId="4" xfId="1" applyNumberFormat="1" applyFont="1" applyFill="1" applyBorder="1"/>
    <xf numFmtId="9" fontId="12" fillId="15" borderId="4" xfId="4" applyNumberFormat="1" applyFont="1" applyFill="1" applyBorder="1"/>
    <xf numFmtId="165" fontId="11" fillId="0" borderId="4" xfId="1" applyNumberFormat="1" applyFont="1" applyFill="1" applyBorder="1" applyAlignment="1">
      <alignment horizontal="center"/>
    </xf>
    <xf numFmtId="0" fontId="17" fillId="20" borderId="13"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6" xfId="0" applyFont="1" applyFill="1" applyBorder="1" applyAlignment="1">
      <alignment horizontal="center" vertical="center" wrapText="1"/>
    </xf>
    <xf numFmtId="0" fontId="36" fillId="10" borderId="16" xfId="0" applyFont="1" applyFill="1" applyBorder="1" applyAlignment="1">
      <alignment horizontal="center" vertical="center" wrapText="1"/>
    </xf>
    <xf numFmtId="166" fontId="8" fillId="21" borderId="4" xfId="7" applyNumberFormat="1" applyFont="1" applyFill="1" applyBorder="1"/>
    <xf numFmtId="2" fontId="0" fillId="0" borderId="4" xfId="0" applyNumberFormat="1" applyBorder="1"/>
    <xf numFmtId="169" fontId="0" fillId="0" borderId="4" xfId="0" applyNumberFormat="1" applyBorder="1"/>
    <xf numFmtId="1" fontId="0" fillId="0" borderId="4" xfId="0" applyNumberFormat="1" applyBorder="1"/>
    <xf numFmtId="171" fontId="0" fillId="0" borderId="4" xfId="0" applyNumberFormat="1" applyBorder="1"/>
    <xf numFmtId="170" fontId="35" fillId="10" borderId="15" xfId="1" applyNumberFormat="1" applyFont="1" applyFill="1" applyBorder="1" applyAlignment="1">
      <alignment vertical="center" wrapText="1"/>
    </xf>
    <xf numFmtId="3" fontId="40" fillId="0" borderId="4" xfId="0" applyNumberFormat="1" applyFont="1" applyBorder="1"/>
    <xf numFmtId="165" fontId="11" fillId="0" borderId="17" xfId="1" applyNumberFormat="1" applyFont="1" applyBorder="1" applyAlignment="1"/>
    <xf numFmtId="165" fontId="11" fillId="0" borderId="18" xfId="1" applyNumberFormat="1" applyFont="1" applyBorder="1" applyAlignment="1"/>
    <xf numFmtId="0" fontId="42" fillId="9" borderId="4" xfId="0" applyFont="1" applyFill="1" applyBorder="1" applyAlignment="1">
      <alignment vertical="center" wrapText="1"/>
    </xf>
    <xf numFmtId="170" fontId="23" fillId="0" borderId="4" xfId="1" applyNumberFormat="1" applyFont="1" applyBorder="1" applyAlignment="1">
      <alignment horizontal="center" vertical="center"/>
    </xf>
    <xf numFmtId="0" fontId="0" fillId="0" borderId="4" xfId="0" applyBorder="1" applyAlignment="1">
      <alignment horizont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0" fontId="0" fillId="0" borderId="5" xfId="0" applyBorder="1" applyAlignment="1">
      <alignment horizontal="center" vertical="center"/>
    </xf>
    <xf numFmtId="2" fontId="0" fillId="0" borderId="4" xfId="0" applyNumberForma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42" fillId="9" borderId="4" xfId="0" applyFont="1" applyFill="1" applyBorder="1" applyAlignment="1">
      <alignment horizontal="center" vertical="center" wrapText="1"/>
    </xf>
    <xf numFmtId="0" fontId="23" fillId="22" borderId="0" xfId="0" applyFont="1" applyFill="1" applyAlignment="1">
      <alignment horizontal="center" vertical="center"/>
    </xf>
    <xf numFmtId="2" fontId="23" fillId="22" borderId="0" xfId="0" applyNumberFormat="1" applyFont="1" applyFill="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vertical="center"/>
    </xf>
    <xf numFmtId="0" fontId="23" fillId="22" borderId="4" xfId="0" applyFont="1" applyFill="1" applyBorder="1" applyAlignment="1">
      <alignment horizontal="center" vertical="center"/>
    </xf>
    <xf numFmtId="2" fontId="23" fillId="22" borderId="4" xfId="0" applyNumberFormat="1" applyFont="1" applyFill="1" applyBorder="1" applyAlignment="1">
      <alignment horizontal="center" vertical="center"/>
    </xf>
    <xf numFmtId="2" fontId="0" fillId="0" borderId="5" xfId="0" applyNumberFormat="1" applyBorder="1" applyAlignment="1">
      <alignment horizontal="center" vertical="center"/>
    </xf>
    <xf numFmtId="9" fontId="0" fillId="0" borderId="4" xfId="2" applyFont="1" applyBorder="1" applyAlignment="1">
      <alignment horizontal="center" vertical="center"/>
    </xf>
    <xf numFmtId="9" fontId="0" fillId="0" borderId="5" xfId="2" applyFont="1" applyBorder="1" applyAlignment="1">
      <alignment horizontal="center" vertical="center"/>
    </xf>
    <xf numFmtId="9" fontId="0" fillId="0" borderId="7" xfId="2" applyFont="1" applyBorder="1" applyAlignment="1">
      <alignment horizontal="center" vertical="center"/>
    </xf>
    <xf numFmtId="164" fontId="23" fillId="0" borderId="4" xfId="1" applyFont="1" applyBorder="1" applyAlignment="1">
      <alignment horizontal="center" vertical="center"/>
    </xf>
    <xf numFmtId="9" fontId="0" fillId="0" borderId="4" xfId="2" applyFont="1" applyBorder="1" applyAlignment="1">
      <alignment horizontal="center"/>
    </xf>
    <xf numFmtId="1" fontId="0" fillId="0" borderId="0" xfId="0" applyNumberFormat="1"/>
    <xf numFmtId="0" fontId="19" fillId="10" borderId="4" xfId="0" applyFont="1" applyFill="1" applyBorder="1" applyAlignment="1">
      <alignment horizontal="right" vertical="center" wrapText="1"/>
    </xf>
    <xf numFmtId="0" fontId="21" fillId="10" borderId="4" xfId="0" applyFont="1" applyFill="1" applyBorder="1" applyAlignment="1">
      <alignment horizontal="right" vertical="center" wrapText="1"/>
    </xf>
    <xf numFmtId="10" fontId="11" fillId="0" borderId="4" xfId="2" applyNumberFormat="1" applyFont="1" applyFill="1" applyBorder="1" applyAlignment="1">
      <alignment horizontal="center"/>
    </xf>
    <xf numFmtId="165" fontId="11" fillId="0" borderId="4" xfId="1" applyNumberFormat="1" applyFont="1" applyFill="1" applyBorder="1" applyAlignment="1">
      <alignment horizontal="center"/>
    </xf>
    <xf numFmtId="165" fontId="11" fillId="0" borderId="11" xfId="1" applyNumberFormat="1" applyFont="1" applyFill="1" applyBorder="1" applyAlignment="1">
      <alignment horizontal="center"/>
    </xf>
    <xf numFmtId="0" fontId="39" fillId="7" borderId="5" xfId="0" applyFont="1" applyFill="1" applyBorder="1" applyAlignment="1">
      <alignment horizontal="center"/>
    </xf>
    <xf numFmtId="0" fontId="39" fillId="7" borderId="10" xfId="0" applyFont="1" applyFill="1" applyBorder="1" applyAlignment="1">
      <alignment horizontal="center"/>
    </xf>
    <xf numFmtId="0" fontId="39" fillId="7" borderId="6" xfId="0" applyFont="1" applyFill="1" applyBorder="1" applyAlignment="1">
      <alignment horizontal="center"/>
    </xf>
    <xf numFmtId="0" fontId="9" fillId="0" borderId="9" xfId="0" applyFont="1" applyBorder="1" applyAlignment="1">
      <alignment horizontal="center"/>
    </xf>
    <xf numFmtId="165" fontId="11" fillId="0" borderId="4" xfId="1" applyNumberFormat="1" applyFont="1" applyBorder="1" applyAlignment="1">
      <alignment horizontal="center"/>
    </xf>
    <xf numFmtId="0" fontId="37" fillId="21" borderId="9" xfId="0" applyFont="1" applyFill="1" applyBorder="1" applyAlignment="1">
      <alignment horizontal="center"/>
    </xf>
    <xf numFmtId="0" fontId="38" fillId="7" borderId="0" xfId="0" applyFont="1" applyFill="1" applyAlignment="1">
      <alignment horizontal="center"/>
    </xf>
    <xf numFmtId="165" fontId="12" fillId="19" borderId="7" xfId="1" applyNumberFormat="1" applyFont="1" applyFill="1" applyBorder="1" applyAlignment="1">
      <alignment horizontal="center" vertical="center" wrapText="1"/>
    </xf>
    <xf numFmtId="165" fontId="12" fillId="19" borderId="8" xfId="1" applyNumberFormat="1" applyFont="1" applyFill="1" applyBorder="1" applyAlignment="1">
      <alignment horizontal="center" vertical="center" wrapText="1"/>
    </xf>
    <xf numFmtId="0" fontId="23" fillId="0" borderId="0" xfId="0" applyFont="1" applyAlignment="1">
      <alignment horizontal="center" vertical="center" wrapText="1"/>
    </xf>
    <xf numFmtId="0" fontId="0" fillId="11" borderId="0" xfId="0" applyFill="1" applyAlignment="1">
      <alignment horizontal="center" wrapText="1"/>
    </xf>
    <xf numFmtId="0" fontId="0" fillId="6" borderId="7"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8" xfId="0" applyFill="1" applyBorder="1" applyAlignment="1">
      <alignment horizontal="center" vertical="center" wrapText="1"/>
    </xf>
    <xf numFmtId="2" fontId="0" fillId="6" borderId="7" xfId="0" applyNumberFormat="1" applyFill="1" applyBorder="1" applyAlignment="1">
      <alignment horizontal="center" vertical="center"/>
    </xf>
    <xf numFmtId="2" fontId="0" fillId="6" borderId="11" xfId="0" applyNumberFormat="1" applyFill="1" applyBorder="1" applyAlignment="1">
      <alignment horizontal="center" vertical="center"/>
    </xf>
    <xf numFmtId="2" fontId="0" fillId="6" borderId="8" xfId="0" applyNumberFormat="1" applyFill="1" applyBorder="1" applyAlignment="1">
      <alignment horizontal="center" vertical="center"/>
    </xf>
    <xf numFmtId="0" fontId="23" fillId="14" borderId="5" xfId="0" applyFont="1" applyFill="1" applyBorder="1" applyAlignment="1">
      <alignment horizontal="center"/>
    </xf>
    <xf numFmtId="0" fontId="23" fillId="14" borderId="10" xfId="0" applyFont="1" applyFill="1" applyBorder="1" applyAlignment="1">
      <alignment horizontal="center"/>
    </xf>
    <xf numFmtId="0" fontId="23" fillId="14" borderId="6" xfId="0" applyFont="1" applyFill="1" applyBorder="1" applyAlignment="1">
      <alignment horizontal="center"/>
    </xf>
    <xf numFmtId="0" fontId="23" fillId="13" borderId="5" xfId="0" applyFont="1" applyFill="1" applyBorder="1" applyAlignment="1">
      <alignment horizontal="center" vertical="center" wrapText="1"/>
    </xf>
    <xf numFmtId="0" fontId="23" fillId="13" borderId="10" xfId="0" applyFont="1" applyFill="1" applyBorder="1" applyAlignment="1">
      <alignment horizontal="center" vertical="center" wrapText="1"/>
    </xf>
    <xf numFmtId="0" fontId="23" fillId="13" borderId="6" xfId="0" applyFont="1" applyFill="1" applyBorder="1" applyAlignment="1">
      <alignment horizontal="center" vertical="center" wrapText="1"/>
    </xf>
    <xf numFmtId="0" fontId="23" fillId="13" borderId="5" xfId="0" applyFont="1" applyFill="1" applyBorder="1" applyAlignment="1">
      <alignment horizontal="center"/>
    </xf>
    <xf numFmtId="0" fontId="23" fillId="13" borderId="10" xfId="0" applyFont="1" applyFill="1" applyBorder="1" applyAlignment="1">
      <alignment horizontal="center"/>
    </xf>
    <xf numFmtId="0" fontId="23" fillId="13" borderId="6" xfId="0" applyFont="1" applyFill="1" applyBorder="1" applyAlignment="1">
      <alignment horizontal="center"/>
    </xf>
    <xf numFmtId="169" fontId="0" fillId="6" borderId="4" xfId="0" applyNumberFormat="1" applyFill="1" applyBorder="1" applyAlignment="1">
      <alignment horizontal="center" vertical="center"/>
    </xf>
    <xf numFmtId="0" fontId="26" fillId="0" borderId="0" xfId="0" applyFont="1" applyAlignment="1">
      <alignment horizontal="center" vertical="top"/>
    </xf>
    <xf numFmtId="0" fontId="32" fillId="0" borderId="4" xfId="0" applyFont="1" applyBorder="1" applyAlignment="1">
      <alignment horizontal="center" wrapText="1"/>
    </xf>
    <xf numFmtId="0" fontId="16" fillId="0" borderId="5" xfId="0" applyFont="1" applyBorder="1" applyAlignment="1">
      <alignment horizontal="center"/>
    </xf>
    <xf numFmtId="0" fontId="16" fillId="0" borderId="10" xfId="0" applyFont="1" applyBorder="1" applyAlignment="1">
      <alignment horizontal="center"/>
    </xf>
    <xf numFmtId="0" fontId="16" fillId="0" borderId="6" xfId="0" applyFont="1" applyBorder="1" applyAlignment="1">
      <alignment horizontal="center"/>
    </xf>
    <xf numFmtId="0" fontId="23" fillId="0" borderId="4" xfId="0" applyFont="1" applyBorder="1" applyAlignment="1">
      <alignment horizontal="center"/>
    </xf>
    <xf numFmtId="0" fontId="23" fillId="21" borderId="0" xfId="0" applyFont="1" applyFill="1" applyAlignment="1">
      <alignment horizontal="center"/>
    </xf>
  </cellXfs>
  <cellStyles count="9">
    <cellStyle name="Accent6" xfId="8" builtinId="49"/>
    <cellStyle name="Bad" xfId="3" builtinId="27"/>
    <cellStyle name="Calculation" xfId="6" builtinId="22"/>
    <cellStyle name="Comma" xfId="1" builtinId="3"/>
    <cellStyle name="Input" xfId="4" builtinId="20"/>
    <cellStyle name="Linked Cell" xfId="7" builtinId="24"/>
    <cellStyle name="Normal" xfId="0" builtinId="0"/>
    <cellStyle name="Output" xfId="5" builtinId="2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1000453</xdr:colOff>
      <xdr:row>17</xdr:row>
      <xdr:rowOff>172503</xdr:rowOff>
    </xdr:to>
    <xdr:pic>
      <xdr:nvPicPr>
        <xdr:cNvPr id="20" name="Picture 1">
          <a:extLst>
            <a:ext uri="{FF2B5EF4-FFF2-40B4-BE49-F238E27FC236}">
              <a16:creationId xmlns:a16="http://schemas.microsoft.com/office/drawing/2014/main" id="{B0AD280A-294B-4556-86A3-9047233BB88A}"/>
            </a:ext>
          </a:extLst>
        </xdr:cNvPr>
        <xdr:cNvPicPr>
          <a:picLocks noChangeAspect="1"/>
        </xdr:cNvPicPr>
      </xdr:nvPicPr>
      <xdr:blipFill>
        <a:blip xmlns:r="http://schemas.openxmlformats.org/officeDocument/2006/relationships" r:embed="rId1"/>
        <a:stretch>
          <a:fillRect/>
        </a:stretch>
      </xdr:blipFill>
      <xdr:spPr>
        <a:xfrm>
          <a:off x="0" y="0"/>
          <a:ext cx="4560657" cy="3777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234078</xdr:colOff>
      <xdr:row>30</xdr:row>
      <xdr:rowOff>175059</xdr:rowOff>
    </xdr:from>
    <xdr:to>
      <xdr:col>13</xdr:col>
      <xdr:colOff>659792</xdr:colOff>
      <xdr:row>33</xdr:row>
      <xdr:rowOff>93970</xdr:rowOff>
    </xdr:to>
    <xdr:pic>
      <xdr:nvPicPr>
        <xdr:cNvPr id="4" name="Picture 3">
          <a:extLst>
            <a:ext uri="{FF2B5EF4-FFF2-40B4-BE49-F238E27FC236}">
              <a16:creationId xmlns:a16="http://schemas.microsoft.com/office/drawing/2014/main" id="{3C8E93F2-73A9-D953-EFAB-1CE920A6FBC0}"/>
            </a:ext>
          </a:extLst>
        </xdr:cNvPr>
        <xdr:cNvPicPr>
          <a:picLocks noChangeAspect="1"/>
        </xdr:cNvPicPr>
      </xdr:nvPicPr>
      <xdr:blipFill>
        <a:blip xmlns:r="http://schemas.openxmlformats.org/officeDocument/2006/relationships" r:embed="rId1"/>
        <a:stretch>
          <a:fillRect/>
        </a:stretch>
      </xdr:blipFill>
      <xdr:spPr>
        <a:xfrm>
          <a:off x="16265960" y="7302000"/>
          <a:ext cx="3969373" cy="472392"/>
        </a:xfrm>
        <a:prstGeom prst="rect">
          <a:avLst/>
        </a:prstGeom>
      </xdr:spPr>
    </xdr:pic>
    <xdr:clientData/>
  </xdr:twoCellAnchor>
  <xdr:twoCellAnchor editAs="oneCell">
    <xdr:from>
      <xdr:col>1</xdr:col>
      <xdr:colOff>64745</xdr:colOff>
      <xdr:row>30</xdr:row>
      <xdr:rowOff>54784</xdr:rowOff>
    </xdr:from>
    <xdr:to>
      <xdr:col>6</xdr:col>
      <xdr:colOff>254454</xdr:colOff>
      <xdr:row>34</xdr:row>
      <xdr:rowOff>131623</xdr:rowOff>
    </xdr:to>
    <xdr:pic>
      <xdr:nvPicPr>
        <xdr:cNvPr id="6" name="Picture 5">
          <a:extLst>
            <a:ext uri="{FF2B5EF4-FFF2-40B4-BE49-F238E27FC236}">
              <a16:creationId xmlns:a16="http://schemas.microsoft.com/office/drawing/2014/main" id="{FEC1A706-BE91-D8FA-45AA-D95BC058009B}"/>
            </a:ext>
          </a:extLst>
        </xdr:cNvPr>
        <xdr:cNvPicPr>
          <a:picLocks noChangeAspect="1"/>
        </xdr:cNvPicPr>
      </xdr:nvPicPr>
      <xdr:blipFill>
        <a:blip xmlns:r="http://schemas.openxmlformats.org/officeDocument/2006/relationships" r:embed="rId2"/>
        <a:stretch>
          <a:fillRect/>
        </a:stretch>
      </xdr:blipFill>
      <xdr:spPr>
        <a:xfrm>
          <a:off x="11235765" y="7181725"/>
          <a:ext cx="4093882" cy="810361"/>
        </a:xfrm>
        <a:prstGeom prst="rect">
          <a:avLst/>
        </a:prstGeom>
      </xdr:spPr>
    </xdr:pic>
    <xdr:clientData/>
  </xdr:twoCellAnchor>
  <xdr:twoCellAnchor editAs="oneCell">
    <xdr:from>
      <xdr:col>15</xdr:col>
      <xdr:colOff>0</xdr:colOff>
      <xdr:row>32</xdr:row>
      <xdr:rowOff>0</xdr:rowOff>
    </xdr:from>
    <xdr:to>
      <xdr:col>19</xdr:col>
      <xdr:colOff>1135929</xdr:colOff>
      <xdr:row>40</xdr:row>
      <xdr:rowOff>83300</xdr:rowOff>
    </xdr:to>
    <xdr:pic>
      <xdr:nvPicPr>
        <xdr:cNvPr id="2" name="Picture 1">
          <a:extLst>
            <a:ext uri="{FF2B5EF4-FFF2-40B4-BE49-F238E27FC236}">
              <a16:creationId xmlns:a16="http://schemas.microsoft.com/office/drawing/2014/main" id="{4B0F4F1A-A758-4D9F-9435-1E7EF54C5582}"/>
            </a:ext>
          </a:extLst>
        </xdr:cNvPr>
        <xdr:cNvPicPr>
          <a:picLocks noChangeAspect="1"/>
        </xdr:cNvPicPr>
      </xdr:nvPicPr>
      <xdr:blipFill>
        <a:blip xmlns:r="http://schemas.openxmlformats.org/officeDocument/2006/relationships" r:embed="rId3"/>
        <a:stretch>
          <a:fillRect/>
        </a:stretch>
      </xdr:blipFill>
      <xdr:spPr>
        <a:xfrm>
          <a:off x="10991726" y="6987491"/>
          <a:ext cx="4739619" cy="15588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BAFC-E292-4038-9501-F9DF667EEF86}">
  <dimension ref="A1:AR74"/>
  <sheetViews>
    <sheetView topLeftCell="J1" zoomScale="85" zoomScaleNormal="85" workbookViewId="0">
      <selection activeCell="I10" sqref="I10:I12"/>
    </sheetView>
  </sheetViews>
  <sheetFormatPr defaultRowHeight="14.45"/>
  <cols>
    <col min="2" max="3" width="12.5703125" bestFit="1" customWidth="1"/>
    <col min="4" max="5" width="17.5703125" customWidth="1"/>
    <col min="6" max="6" width="20.28515625" customWidth="1"/>
    <col min="7" max="7" width="16" customWidth="1"/>
    <col min="8" max="8" width="18.140625" customWidth="1"/>
    <col min="9" max="9" width="17.140625" customWidth="1"/>
    <col min="10" max="10" width="17.85546875" customWidth="1"/>
    <col min="12" max="12" width="16.28515625" bestFit="1" customWidth="1"/>
    <col min="13" max="13" width="17.140625" bestFit="1" customWidth="1"/>
    <col min="14" max="14" width="15.28515625" bestFit="1" customWidth="1"/>
    <col min="15" max="15" width="14.5703125" customWidth="1"/>
    <col min="16" max="16" width="17.28515625" customWidth="1"/>
    <col min="17" max="17" width="17" customWidth="1"/>
    <col min="18" max="18" width="10.28515625" bestFit="1" customWidth="1"/>
    <col min="19" max="19" width="10" bestFit="1" customWidth="1"/>
    <col min="20" max="20" width="13.7109375" customWidth="1"/>
    <col min="21" max="21" width="11.28515625" customWidth="1"/>
    <col min="22" max="23" width="12.28515625" bestFit="1" customWidth="1"/>
    <col min="24" max="25" width="13" customWidth="1"/>
    <col min="27" max="27" width="12.7109375" customWidth="1"/>
    <col min="28" max="28" width="16.5703125" bestFit="1" customWidth="1"/>
    <col min="30" max="30" width="12.5703125" bestFit="1" customWidth="1"/>
    <col min="37" max="37" width="12.28515625" bestFit="1" customWidth="1"/>
    <col min="42" max="42" width="11.85546875" bestFit="1" customWidth="1"/>
  </cols>
  <sheetData>
    <row r="1" spans="1:32" ht="21">
      <c r="N1" s="15"/>
      <c r="O1" s="135" t="s">
        <v>0</v>
      </c>
      <c r="P1" s="136"/>
      <c r="Q1" s="136"/>
      <c r="R1" s="136"/>
      <c r="S1" s="136"/>
      <c r="T1" s="136"/>
      <c r="U1" s="136"/>
      <c r="V1" s="136"/>
      <c r="W1" s="136"/>
      <c r="X1" s="136"/>
      <c r="Y1" s="136"/>
      <c r="Z1" s="136"/>
      <c r="AA1" s="136"/>
      <c r="AB1" s="136"/>
      <c r="AC1" s="136"/>
      <c r="AD1" s="136"/>
      <c r="AE1" s="136"/>
      <c r="AF1" s="137"/>
    </row>
    <row r="2" spans="1:32">
      <c r="A2" s="1"/>
      <c r="B2" s="9"/>
      <c r="C2" s="1"/>
      <c r="D2" s="9"/>
      <c r="E2" s="1"/>
      <c r="F2" s="1"/>
      <c r="G2" s="1"/>
      <c r="H2" s="3"/>
      <c r="I2" s="3"/>
      <c r="J2" s="3"/>
      <c r="K2" s="3"/>
      <c r="L2" s="3"/>
      <c r="M2" s="3"/>
      <c r="N2" s="3"/>
      <c r="O2" s="138" t="s">
        <v>1</v>
      </c>
      <c r="P2" s="138"/>
      <c r="Q2" s="138"/>
      <c r="R2" s="138"/>
      <c r="S2" s="138"/>
      <c r="T2" s="138"/>
      <c r="U2" s="138"/>
      <c r="V2" s="138"/>
      <c r="W2" s="138"/>
      <c r="X2" s="138"/>
      <c r="Y2" s="138"/>
      <c r="Z2" s="138"/>
      <c r="AA2" s="138"/>
      <c r="AB2" s="138"/>
      <c r="AC2" s="138"/>
      <c r="AD2" s="138"/>
    </row>
    <row r="3" spans="1:32">
      <c r="A3" s="1"/>
      <c r="B3" s="1"/>
      <c r="C3" s="1"/>
      <c r="D3" s="1"/>
      <c r="E3" s="1"/>
      <c r="F3" s="1"/>
      <c r="G3" s="1"/>
      <c r="H3" s="15"/>
      <c r="I3" s="15"/>
      <c r="J3" s="15"/>
      <c r="K3" s="15"/>
      <c r="L3" s="15"/>
      <c r="M3" s="15"/>
      <c r="N3" s="15"/>
      <c r="O3" s="132" t="s">
        <v>2</v>
      </c>
      <c r="P3" s="132"/>
      <c r="Q3" s="132"/>
      <c r="R3" s="132"/>
      <c r="S3" s="132"/>
      <c r="T3" s="132"/>
      <c r="U3" s="132"/>
      <c r="V3" s="132"/>
      <c r="W3" s="132"/>
      <c r="X3" s="132"/>
      <c r="Y3" s="132"/>
      <c r="Z3" s="132"/>
      <c r="AA3" s="132"/>
      <c r="AB3" s="132"/>
      <c r="AC3" s="132"/>
      <c r="AD3" s="132"/>
    </row>
    <row r="4" spans="1:32">
      <c r="B4" s="1"/>
      <c r="C4" s="1"/>
      <c r="D4" s="1"/>
      <c r="E4" s="1"/>
      <c r="F4" s="1"/>
      <c r="G4" s="1"/>
      <c r="H4" s="3"/>
      <c r="K4" s="3"/>
      <c r="L4" s="3"/>
      <c r="M4" s="3"/>
      <c r="N4" s="3"/>
      <c r="O4" s="133" t="s">
        <v>3</v>
      </c>
      <c r="P4" s="133"/>
      <c r="Q4" s="133"/>
      <c r="R4" s="133"/>
      <c r="S4" s="93"/>
      <c r="T4" s="48"/>
      <c r="U4" s="134" t="s">
        <v>4</v>
      </c>
      <c r="V4" s="134"/>
      <c r="W4" s="134"/>
      <c r="X4" s="134"/>
      <c r="Y4" s="139" t="s">
        <v>5</v>
      </c>
      <c r="Z4" s="139"/>
      <c r="AA4" s="139"/>
      <c r="AB4" s="139"/>
      <c r="AC4" s="105"/>
      <c r="AD4" s="106"/>
    </row>
    <row r="5" spans="1:32" ht="15">
      <c r="A5" s="1"/>
      <c r="B5" s="1"/>
      <c r="C5" s="1"/>
      <c r="D5" s="1"/>
      <c r="E5" s="1"/>
      <c r="F5" s="1"/>
      <c r="G5" s="1"/>
      <c r="H5" s="3"/>
      <c r="K5" s="3"/>
      <c r="L5" s="3"/>
      <c r="M5" s="3"/>
      <c r="N5" s="3"/>
      <c r="O5" s="85" t="s">
        <v>6</v>
      </c>
      <c r="P5" s="85" t="s">
        <v>7</v>
      </c>
      <c r="Q5" s="26" t="s">
        <v>8</v>
      </c>
      <c r="R5" s="26" t="s">
        <v>9</v>
      </c>
      <c r="S5" s="4"/>
      <c r="T5" s="85" t="s">
        <v>6</v>
      </c>
      <c r="U5" s="85" t="s">
        <v>7</v>
      </c>
      <c r="V5" s="26" t="s">
        <v>10</v>
      </c>
      <c r="W5" s="26" t="s">
        <v>11</v>
      </c>
      <c r="X5" s="1"/>
      <c r="Y5" s="85" t="s">
        <v>6</v>
      </c>
      <c r="Z5" s="85" t="s">
        <v>7</v>
      </c>
      <c r="AA5" s="26" t="s">
        <v>12</v>
      </c>
      <c r="AB5" s="26" t="s">
        <v>13</v>
      </c>
      <c r="AD5" t="s">
        <v>14</v>
      </c>
    </row>
    <row r="6" spans="1:32" ht="15">
      <c r="A6" s="1"/>
      <c r="B6" s="1"/>
      <c r="C6" s="1"/>
      <c r="D6" s="1"/>
      <c r="E6" s="1"/>
      <c r="F6" s="1"/>
      <c r="G6" s="3"/>
      <c r="H6" s="73" t="s">
        <v>15</v>
      </c>
      <c r="I6" s="98">
        <v>0.38</v>
      </c>
      <c r="J6" s="3"/>
      <c r="K6" s="3"/>
      <c r="L6" s="3"/>
      <c r="M6" s="3"/>
      <c r="O6" s="37" t="s">
        <v>16</v>
      </c>
      <c r="P6" s="60">
        <f>$I$10*0.9</f>
        <v>38178</v>
      </c>
      <c r="Q6" s="38">
        <f>P6*$I$6*3/12</f>
        <v>3626.91</v>
      </c>
      <c r="R6" s="38">
        <f>P6*$I$7*3/12</f>
        <v>22768.404749999998</v>
      </c>
      <c r="T6" s="37" t="s">
        <v>16</v>
      </c>
      <c r="U6" s="60">
        <f>I11*0.9</f>
        <v>7629.6060000000007</v>
      </c>
      <c r="V6" s="38">
        <f>U6*$I$6*3/12</f>
        <v>724.81257000000005</v>
      </c>
      <c r="W6" s="38">
        <f>U6*$I$7*3/12</f>
        <v>4550.1062782500003</v>
      </c>
      <c r="X6" s="40"/>
      <c r="Y6" s="37" t="s">
        <v>16</v>
      </c>
      <c r="Z6" s="60">
        <f>$I$12*0.9</f>
        <v>780.35399999999993</v>
      </c>
      <c r="AA6" s="38">
        <f>Z6*$I$6*3/12</f>
        <v>74.133629999999997</v>
      </c>
      <c r="AB6" s="38">
        <f>Z6*$I$7*3/12</f>
        <v>465.38361674999993</v>
      </c>
      <c r="AD6" s="17">
        <f>SUM(P6,U6,Z6)</f>
        <v>46587.96</v>
      </c>
    </row>
    <row r="7" spans="1:32" ht="15">
      <c r="A7" s="1"/>
      <c r="B7" s="1"/>
      <c r="C7" s="1"/>
      <c r="D7" s="1"/>
      <c r="E7" s="1"/>
      <c r="F7" s="1"/>
      <c r="G7" s="3"/>
      <c r="H7" s="73" t="s">
        <v>17</v>
      </c>
      <c r="I7" s="98">
        <f>M18</f>
        <v>2.3855</v>
      </c>
      <c r="J7" s="3"/>
      <c r="K7" s="3"/>
      <c r="L7" s="3"/>
      <c r="M7" s="3"/>
      <c r="O7" s="41">
        <v>2018</v>
      </c>
      <c r="P7" s="60">
        <f>$I$10*0.9</f>
        <v>38178</v>
      </c>
      <c r="Q7" s="38">
        <f t="shared" ref="Q7:Q35" si="0">P7*$I$6</f>
        <v>14507.64</v>
      </c>
      <c r="R7" s="38">
        <f t="shared" ref="R7:R35" si="1">P7*$I$7</f>
        <v>91073.618999999992</v>
      </c>
      <c r="T7" s="41">
        <v>2018</v>
      </c>
      <c r="U7" s="60">
        <f>$I$11*0.9</f>
        <v>7629.6060000000007</v>
      </c>
      <c r="V7" s="38">
        <f t="shared" ref="V7:V23" si="2">U7*$I$6</f>
        <v>2899.2502800000002</v>
      </c>
      <c r="W7" s="38">
        <f t="shared" ref="W7:W34" si="3">U7*$I$7</f>
        <v>18200.425113000001</v>
      </c>
      <c r="X7" s="40"/>
      <c r="Y7" s="41">
        <v>2018</v>
      </c>
      <c r="Z7" s="60">
        <f t="shared" ref="Z7:Z11" si="4">$I$12*0.9</f>
        <v>780.35399999999993</v>
      </c>
      <c r="AA7" s="38">
        <f t="shared" ref="AA7:AA35" si="5">Z7*$I$6</f>
        <v>296.53451999999999</v>
      </c>
      <c r="AB7" s="38">
        <f t="shared" ref="AB7:AB35" si="6">Z7*$I$7</f>
        <v>1861.5344669999997</v>
      </c>
      <c r="AD7" s="17">
        <f t="shared" ref="AD7:AD36" si="7">SUM(P7,U7,Z7)</f>
        <v>46587.96</v>
      </c>
    </row>
    <row r="8" spans="1:32">
      <c r="A8" s="1"/>
      <c r="B8" s="1"/>
      <c r="C8" s="1"/>
      <c r="D8" s="1"/>
      <c r="E8" s="1"/>
      <c r="F8" s="1"/>
      <c r="G8" s="3"/>
      <c r="H8" s="142" t="s">
        <v>18</v>
      </c>
      <c r="I8" s="142" t="s">
        <v>19</v>
      </c>
      <c r="J8" s="3"/>
      <c r="K8" s="3"/>
      <c r="L8" s="3"/>
      <c r="M8" s="3"/>
      <c r="O8" s="41">
        <v>2019</v>
      </c>
      <c r="P8" s="60">
        <f t="shared" ref="P8:P11" si="8">$I$10*0.9</f>
        <v>38178</v>
      </c>
      <c r="Q8" s="38">
        <f t="shared" si="0"/>
        <v>14507.64</v>
      </c>
      <c r="R8" s="38">
        <f t="shared" si="1"/>
        <v>91073.618999999992</v>
      </c>
      <c r="T8" s="41">
        <v>2019</v>
      </c>
      <c r="U8" s="60">
        <f>$I$11*0.9</f>
        <v>7629.6060000000007</v>
      </c>
      <c r="V8" s="38">
        <f t="shared" si="2"/>
        <v>2899.2502800000002</v>
      </c>
      <c r="W8" s="38">
        <f t="shared" si="3"/>
        <v>18200.425113000001</v>
      </c>
      <c r="X8" s="40"/>
      <c r="Y8" s="41">
        <v>2019</v>
      </c>
      <c r="Z8" s="60">
        <f t="shared" si="4"/>
        <v>780.35399999999993</v>
      </c>
      <c r="AA8" s="38">
        <f t="shared" si="5"/>
        <v>296.53451999999999</v>
      </c>
      <c r="AB8" s="38">
        <f t="shared" si="6"/>
        <v>1861.5344669999997</v>
      </c>
      <c r="AD8" s="17">
        <f t="shared" si="7"/>
        <v>46587.96</v>
      </c>
    </row>
    <row r="9" spans="1:32">
      <c r="A9" s="1"/>
      <c r="B9" s="1"/>
      <c r="C9" s="1"/>
      <c r="D9" s="1"/>
      <c r="E9" s="1"/>
      <c r="F9" s="1"/>
      <c r="G9" s="3"/>
      <c r="H9" s="143"/>
      <c r="I9" s="143"/>
      <c r="J9" s="3"/>
      <c r="K9" s="3"/>
      <c r="L9" s="3"/>
      <c r="M9" s="3"/>
      <c r="O9" s="41">
        <v>2020</v>
      </c>
      <c r="P9" s="60">
        <f>$I$10*0.9</f>
        <v>38178</v>
      </c>
      <c r="Q9" s="38">
        <f t="shared" si="0"/>
        <v>14507.64</v>
      </c>
      <c r="R9" s="38">
        <f t="shared" si="1"/>
        <v>91073.618999999992</v>
      </c>
      <c r="T9" s="41">
        <v>2020</v>
      </c>
      <c r="U9" s="60">
        <f>$I$11*0.9</f>
        <v>7629.6060000000007</v>
      </c>
      <c r="V9" s="38">
        <f t="shared" si="2"/>
        <v>2899.2502800000002</v>
      </c>
      <c r="W9" s="38">
        <f t="shared" si="3"/>
        <v>18200.425113000001</v>
      </c>
      <c r="X9" s="40"/>
      <c r="Y9" s="41">
        <v>2020</v>
      </c>
      <c r="Z9" s="60">
        <f t="shared" si="4"/>
        <v>780.35399999999993</v>
      </c>
      <c r="AA9" s="38">
        <f t="shared" si="5"/>
        <v>296.53451999999999</v>
      </c>
      <c r="AB9" s="38">
        <f t="shared" si="6"/>
        <v>1861.5344669999997</v>
      </c>
      <c r="AD9" s="17">
        <f t="shared" si="7"/>
        <v>46587.96</v>
      </c>
    </row>
    <row r="10" spans="1:32">
      <c r="A10" s="1"/>
      <c r="B10" s="1"/>
      <c r="C10" s="1"/>
      <c r="D10" s="1"/>
      <c r="E10" s="1"/>
      <c r="F10" s="1"/>
      <c r="G10" s="3"/>
      <c r="H10" s="42" t="s">
        <v>3</v>
      </c>
      <c r="I10" s="78">
        <v>42420</v>
      </c>
      <c r="J10" s="4"/>
      <c r="K10" s="3"/>
      <c r="L10" s="3"/>
      <c r="M10" s="3"/>
      <c r="O10" s="41">
        <v>2021</v>
      </c>
      <c r="P10" s="60">
        <f t="shared" si="8"/>
        <v>38178</v>
      </c>
      <c r="Q10" s="38">
        <f t="shared" si="0"/>
        <v>14507.64</v>
      </c>
      <c r="R10" s="38">
        <f t="shared" si="1"/>
        <v>91073.618999999992</v>
      </c>
      <c r="T10" s="41">
        <v>2021</v>
      </c>
      <c r="U10" s="60">
        <f>$I$11*0.9</f>
        <v>7629.6060000000007</v>
      </c>
      <c r="V10" s="38">
        <f t="shared" si="2"/>
        <v>2899.2502800000002</v>
      </c>
      <c r="W10" s="38">
        <f t="shared" si="3"/>
        <v>18200.425113000001</v>
      </c>
      <c r="X10" s="39"/>
      <c r="Y10" s="41">
        <v>2021</v>
      </c>
      <c r="Z10" s="60">
        <f t="shared" si="4"/>
        <v>780.35399999999993</v>
      </c>
      <c r="AA10" s="38">
        <f t="shared" si="5"/>
        <v>296.53451999999999</v>
      </c>
      <c r="AB10" s="38">
        <f t="shared" si="6"/>
        <v>1861.5344669999997</v>
      </c>
      <c r="AD10" s="17">
        <f t="shared" si="7"/>
        <v>46587.96</v>
      </c>
    </row>
    <row r="11" spans="1:32">
      <c r="A11" s="1"/>
      <c r="B11" s="1"/>
      <c r="C11" s="1"/>
      <c r="D11" s="1"/>
      <c r="E11" s="1"/>
      <c r="F11" s="1"/>
      <c r="G11" s="3"/>
      <c r="H11" s="42" t="s">
        <v>4</v>
      </c>
      <c r="I11" s="78">
        <v>8477.34</v>
      </c>
      <c r="J11" s="4"/>
      <c r="K11" s="3"/>
      <c r="L11" s="3"/>
      <c r="M11" s="3"/>
      <c r="O11" s="41">
        <v>2022</v>
      </c>
      <c r="P11" s="60">
        <f t="shared" si="8"/>
        <v>38178</v>
      </c>
      <c r="Q11" s="38">
        <f t="shared" si="0"/>
        <v>14507.64</v>
      </c>
      <c r="R11" s="38">
        <f t="shared" si="1"/>
        <v>91073.618999999992</v>
      </c>
      <c r="S11" s="39"/>
      <c r="T11" s="41">
        <v>2022</v>
      </c>
      <c r="U11" s="60">
        <f>$I$11*0.9</f>
        <v>7629.6060000000007</v>
      </c>
      <c r="V11" s="38">
        <f t="shared" si="2"/>
        <v>2899.2502800000002</v>
      </c>
      <c r="W11" s="38">
        <f t="shared" si="3"/>
        <v>18200.425113000001</v>
      </c>
      <c r="X11" s="40"/>
      <c r="Y11" s="41">
        <v>2022</v>
      </c>
      <c r="Z11" s="60">
        <f t="shared" si="4"/>
        <v>780.35399999999993</v>
      </c>
      <c r="AA11" s="38">
        <f t="shared" si="5"/>
        <v>296.53451999999999</v>
      </c>
      <c r="AB11" s="38">
        <f t="shared" si="6"/>
        <v>1861.5344669999997</v>
      </c>
      <c r="AD11" s="17">
        <f t="shared" si="7"/>
        <v>46587.96</v>
      </c>
    </row>
    <row r="12" spans="1:32">
      <c r="A12" s="1"/>
      <c r="B12" s="1"/>
      <c r="C12" s="1"/>
      <c r="D12" s="44"/>
      <c r="E12" s="44"/>
      <c r="F12" s="44"/>
      <c r="H12" s="42" t="s">
        <v>5</v>
      </c>
      <c r="I12" s="78">
        <v>867.06</v>
      </c>
      <c r="J12" s="4"/>
      <c r="K12" s="3"/>
      <c r="L12" s="3"/>
      <c r="M12" s="3"/>
      <c r="O12" s="41">
        <v>2023</v>
      </c>
      <c r="P12" s="61">
        <f t="shared" ref="P12:P36" si="9">$I$10</f>
        <v>42420</v>
      </c>
      <c r="Q12" s="38">
        <f t="shared" si="0"/>
        <v>16119.6</v>
      </c>
      <c r="R12" s="38">
        <f t="shared" si="1"/>
        <v>101192.91</v>
      </c>
      <c r="S12" s="39"/>
      <c r="T12" s="41">
        <v>2023</v>
      </c>
      <c r="U12" s="61">
        <f t="shared" ref="U12:U36" si="10">$I$11</f>
        <v>8477.34</v>
      </c>
      <c r="V12" s="38">
        <f t="shared" si="2"/>
        <v>3221.3892000000001</v>
      </c>
      <c r="W12" s="38">
        <f t="shared" si="3"/>
        <v>20222.69457</v>
      </c>
      <c r="X12" s="40"/>
      <c r="Y12" s="41">
        <v>2023</v>
      </c>
      <c r="Z12" s="61">
        <f t="shared" ref="Z12:Z36" si="11">$I$12</f>
        <v>867.06</v>
      </c>
      <c r="AA12" s="38">
        <f t="shared" si="5"/>
        <v>329.4828</v>
      </c>
      <c r="AB12" s="38">
        <f t="shared" si="6"/>
        <v>2068.3716299999996</v>
      </c>
      <c r="AD12" s="17">
        <f t="shared" si="7"/>
        <v>51764.399999999994</v>
      </c>
    </row>
    <row r="13" spans="1:32">
      <c r="A13" s="1"/>
      <c r="B13" s="1"/>
      <c r="C13" s="1"/>
      <c r="D13" s="45"/>
      <c r="E13" s="45"/>
      <c r="F13" s="23"/>
      <c r="J13" s="3"/>
      <c r="K13" s="3"/>
      <c r="L13" s="3"/>
      <c r="M13" s="3"/>
      <c r="O13" s="41">
        <v>2024</v>
      </c>
      <c r="P13" s="61">
        <f t="shared" si="9"/>
        <v>42420</v>
      </c>
      <c r="Q13" s="38">
        <f t="shared" si="0"/>
        <v>16119.6</v>
      </c>
      <c r="R13" s="38">
        <f t="shared" si="1"/>
        <v>101192.91</v>
      </c>
      <c r="S13" s="39"/>
      <c r="T13" s="41">
        <v>2024</v>
      </c>
      <c r="U13" s="61">
        <f t="shared" si="10"/>
        <v>8477.34</v>
      </c>
      <c r="V13" s="38">
        <f t="shared" si="2"/>
        <v>3221.3892000000001</v>
      </c>
      <c r="W13" s="38">
        <f t="shared" si="3"/>
        <v>20222.69457</v>
      </c>
      <c r="X13" s="40"/>
      <c r="Y13" s="41">
        <v>2024</v>
      </c>
      <c r="Z13" s="61">
        <f t="shared" si="11"/>
        <v>867.06</v>
      </c>
      <c r="AA13" s="38">
        <f t="shared" si="5"/>
        <v>329.4828</v>
      </c>
      <c r="AB13" s="38">
        <f t="shared" si="6"/>
        <v>2068.3716299999996</v>
      </c>
      <c r="AD13" s="17">
        <f t="shared" si="7"/>
        <v>51764.399999999994</v>
      </c>
    </row>
    <row r="14" spans="1:32">
      <c r="A14" s="1"/>
      <c r="B14" s="1"/>
      <c r="C14" s="1"/>
      <c r="D14" s="144"/>
      <c r="E14" s="144"/>
      <c r="F14" s="144"/>
      <c r="J14" s="3"/>
      <c r="K14" s="3"/>
      <c r="L14" s="3"/>
      <c r="M14" s="3"/>
      <c r="O14" s="41">
        <v>2025</v>
      </c>
      <c r="P14" s="61">
        <f t="shared" si="9"/>
        <v>42420</v>
      </c>
      <c r="Q14" s="38">
        <f t="shared" si="0"/>
        <v>16119.6</v>
      </c>
      <c r="R14" s="38">
        <f t="shared" si="1"/>
        <v>101192.91</v>
      </c>
      <c r="S14" s="39"/>
      <c r="T14" s="41">
        <v>2025</v>
      </c>
      <c r="U14" s="61">
        <f t="shared" si="10"/>
        <v>8477.34</v>
      </c>
      <c r="V14" s="38">
        <f t="shared" si="2"/>
        <v>3221.3892000000001</v>
      </c>
      <c r="W14" s="38">
        <f t="shared" si="3"/>
        <v>20222.69457</v>
      </c>
      <c r="X14" s="40"/>
      <c r="Y14" s="41">
        <v>2025</v>
      </c>
      <c r="Z14" s="61">
        <f t="shared" si="11"/>
        <v>867.06</v>
      </c>
      <c r="AA14" s="38">
        <f t="shared" si="5"/>
        <v>329.4828</v>
      </c>
      <c r="AB14" s="38">
        <f t="shared" si="6"/>
        <v>2068.3716299999996</v>
      </c>
      <c r="AD14" s="17">
        <f t="shared" si="7"/>
        <v>51764.399999999994</v>
      </c>
    </row>
    <row r="15" spans="1:32">
      <c r="A15" s="1"/>
      <c r="B15" s="1"/>
      <c r="C15" s="1"/>
      <c r="G15" s="152" t="s">
        <v>20</v>
      </c>
      <c r="H15" s="153"/>
      <c r="I15" s="154"/>
      <c r="O15" s="41">
        <v>2026</v>
      </c>
      <c r="P15" s="61">
        <f t="shared" si="9"/>
        <v>42420</v>
      </c>
      <c r="Q15" s="38">
        <f t="shared" si="0"/>
        <v>16119.6</v>
      </c>
      <c r="R15" s="38">
        <f t="shared" si="1"/>
        <v>101192.91</v>
      </c>
      <c r="S15" s="39"/>
      <c r="T15" s="41">
        <v>2026</v>
      </c>
      <c r="U15" s="61">
        <f t="shared" si="10"/>
        <v>8477.34</v>
      </c>
      <c r="V15" s="38">
        <f t="shared" si="2"/>
        <v>3221.3892000000001</v>
      </c>
      <c r="W15" s="38">
        <f t="shared" si="3"/>
        <v>20222.69457</v>
      </c>
      <c r="X15" s="40"/>
      <c r="Y15" s="41">
        <v>2026</v>
      </c>
      <c r="Z15" s="61">
        <f t="shared" si="11"/>
        <v>867.06</v>
      </c>
      <c r="AA15" s="38">
        <f t="shared" si="5"/>
        <v>329.4828</v>
      </c>
      <c r="AB15" s="38">
        <f t="shared" si="6"/>
        <v>2068.3716299999996</v>
      </c>
      <c r="AD15" s="17">
        <f t="shared" si="7"/>
        <v>51764.399999999994</v>
      </c>
    </row>
    <row r="16" spans="1:32" ht="12.75" customHeight="1">
      <c r="A16" s="1"/>
      <c r="B16" s="1"/>
      <c r="C16" s="1"/>
      <c r="G16" s="21">
        <v>1986</v>
      </c>
      <c r="H16" s="21">
        <v>2004</v>
      </c>
      <c r="I16" s="22" t="s">
        <v>21</v>
      </c>
      <c r="O16" s="41">
        <v>2027</v>
      </c>
      <c r="P16" s="61">
        <f t="shared" si="9"/>
        <v>42420</v>
      </c>
      <c r="Q16" s="38">
        <f t="shared" si="0"/>
        <v>16119.6</v>
      </c>
      <c r="R16" s="38">
        <f t="shared" si="1"/>
        <v>101192.91</v>
      </c>
      <c r="S16" s="39"/>
      <c r="T16" s="41">
        <v>2027</v>
      </c>
      <c r="U16" s="61">
        <f t="shared" si="10"/>
        <v>8477.34</v>
      </c>
      <c r="V16" s="38">
        <f t="shared" si="2"/>
        <v>3221.3892000000001</v>
      </c>
      <c r="W16" s="38">
        <f t="shared" si="3"/>
        <v>20222.69457</v>
      </c>
      <c r="X16" s="40"/>
      <c r="Y16" s="41">
        <v>2027</v>
      </c>
      <c r="Z16" s="61">
        <f t="shared" si="11"/>
        <v>867.06</v>
      </c>
      <c r="AA16" s="38">
        <f t="shared" si="5"/>
        <v>329.4828</v>
      </c>
      <c r="AB16" s="38">
        <f t="shared" si="6"/>
        <v>2068.3716299999996</v>
      </c>
      <c r="AD16" s="17">
        <f t="shared" si="7"/>
        <v>51764.399999999994</v>
      </c>
    </row>
    <row r="17" spans="1:30">
      <c r="A17" s="1"/>
      <c r="B17" s="1"/>
      <c r="C17" s="1"/>
      <c r="G17" s="155" t="s">
        <v>22</v>
      </c>
      <c r="H17" s="156"/>
      <c r="I17" s="157"/>
      <c r="J17" s="18" t="s">
        <v>23</v>
      </c>
      <c r="K17" s="18" t="s">
        <v>24</v>
      </c>
      <c r="L17" s="19" t="s">
        <v>25</v>
      </c>
      <c r="M17" s="19" t="s">
        <v>26</v>
      </c>
      <c r="O17" s="41">
        <v>2028</v>
      </c>
      <c r="P17" s="61">
        <f t="shared" si="9"/>
        <v>42420</v>
      </c>
      <c r="Q17" s="38">
        <f t="shared" si="0"/>
        <v>16119.6</v>
      </c>
      <c r="R17" s="38">
        <f t="shared" si="1"/>
        <v>101192.91</v>
      </c>
      <c r="S17" s="39"/>
      <c r="T17" s="41">
        <v>2028</v>
      </c>
      <c r="U17" s="61">
        <f t="shared" si="10"/>
        <v>8477.34</v>
      </c>
      <c r="V17" s="38">
        <f t="shared" si="2"/>
        <v>3221.3892000000001</v>
      </c>
      <c r="W17" s="38">
        <f t="shared" si="3"/>
        <v>20222.69457</v>
      </c>
      <c r="X17" s="40"/>
      <c r="Y17" s="41">
        <v>2028</v>
      </c>
      <c r="Z17" s="61">
        <f t="shared" si="11"/>
        <v>867.06</v>
      </c>
      <c r="AA17" s="38">
        <f t="shared" si="5"/>
        <v>329.4828</v>
      </c>
      <c r="AB17" s="38">
        <f t="shared" si="6"/>
        <v>2068.3716299999996</v>
      </c>
      <c r="AD17" s="17">
        <f t="shared" si="7"/>
        <v>51764.399999999994</v>
      </c>
    </row>
    <row r="18" spans="1:30">
      <c r="A18" s="1"/>
      <c r="B18" s="1"/>
      <c r="C18" s="1"/>
      <c r="G18" s="20">
        <v>16.149999999999999</v>
      </c>
      <c r="H18" s="20">
        <v>22.72</v>
      </c>
      <c r="I18" s="20">
        <f>H18-G18</f>
        <v>6.57</v>
      </c>
      <c r="J18" s="47">
        <f>I18+I23</f>
        <v>13.42</v>
      </c>
      <c r="K18" s="146">
        <f>AVERAGE(J18:J20)</f>
        <v>11.700000000000001</v>
      </c>
      <c r="L18" s="149">
        <f>K18/(2004-1986)</f>
        <v>0.65</v>
      </c>
      <c r="M18" s="161">
        <f>L18*3.67</f>
        <v>2.3855</v>
      </c>
      <c r="O18" s="41">
        <v>2029</v>
      </c>
      <c r="P18" s="61">
        <f t="shared" si="9"/>
        <v>42420</v>
      </c>
      <c r="Q18" s="38">
        <f t="shared" si="0"/>
        <v>16119.6</v>
      </c>
      <c r="R18" s="38">
        <f t="shared" si="1"/>
        <v>101192.91</v>
      </c>
      <c r="S18" s="39"/>
      <c r="T18" s="41">
        <v>2029</v>
      </c>
      <c r="U18" s="61">
        <f t="shared" si="10"/>
        <v>8477.34</v>
      </c>
      <c r="V18" s="38">
        <f t="shared" si="2"/>
        <v>3221.3892000000001</v>
      </c>
      <c r="W18" s="38">
        <f t="shared" si="3"/>
        <v>20222.69457</v>
      </c>
      <c r="X18" s="40"/>
      <c r="Y18" s="41">
        <v>2029</v>
      </c>
      <c r="Z18" s="61">
        <f t="shared" si="11"/>
        <v>867.06</v>
      </c>
      <c r="AA18" s="38">
        <f t="shared" si="5"/>
        <v>329.4828</v>
      </c>
      <c r="AB18" s="38">
        <f t="shared" si="6"/>
        <v>2068.3716299999996</v>
      </c>
      <c r="AD18" s="17">
        <f t="shared" si="7"/>
        <v>51764.399999999994</v>
      </c>
    </row>
    <row r="19" spans="1:30">
      <c r="G19" s="20">
        <v>17.399999999999999</v>
      </c>
      <c r="H19" s="20">
        <v>21.91</v>
      </c>
      <c r="I19" s="20">
        <f>H19-G19</f>
        <v>4.5100000000000016</v>
      </c>
      <c r="J19" s="47">
        <f>I19+I24</f>
        <v>10.050000000000002</v>
      </c>
      <c r="K19" s="147"/>
      <c r="L19" s="150"/>
      <c r="M19" s="161"/>
      <c r="O19" s="41">
        <v>2030</v>
      </c>
      <c r="P19" s="61">
        <f t="shared" si="9"/>
        <v>42420</v>
      </c>
      <c r="Q19" s="38">
        <f t="shared" si="0"/>
        <v>16119.6</v>
      </c>
      <c r="R19" s="38">
        <f t="shared" si="1"/>
        <v>101192.91</v>
      </c>
      <c r="S19" s="39"/>
      <c r="T19" s="41">
        <v>2030</v>
      </c>
      <c r="U19" s="61">
        <f t="shared" si="10"/>
        <v>8477.34</v>
      </c>
      <c r="V19" s="38">
        <f t="shared" si="2"/>
        <v>3221.3892000000001</v>
      </c>
      <c r="W19" s="38">
        <f t="shared" si="3"/>
        <v>20222.69457</v>
      </c>
      <c r="X19" s="40"/>
      <c r="Y19" s="41">
        <v>2030</v>
      </c>
      <c r="Z19" s="61">
        <f t="shared" si="11"/>
        <v>867.06</v>
      </c>
      <c r="AA19" s="38">
        <f t="shared" si="5"/>
        <v>329.4828</v>
      </c>
      <c r="AB19" s="38">
        <f t="shared" si="6"/>
        <v>2068.3716299999996</v>
      </c>
      <c r="AD19" s="17">
        <f t="shared" si="7"/>
        <v>51764.399999999994</v>
      </c>
    </row>
    <row r="20" spans="1:30">
      <c r="G20" s="20">
        <v>17.440000000000001</v>
      </c>
      <c r="H20" s="20">
        <v>23.54</v>
      </c>
      <c r="I20" s="20">
        <f>H20-G20</f>
        <v>6.0999999999999979</v>
      </c>
      <c r="J20" s="47">
        <f>I20+I25</f>
        <v>11.629999999999997</v>
      </c>
      <c r="K20" s="148"/>
      <c r="L20" s="151"/>
      <c r="M20" s="161"/>
      <c r="O20" s="41">
        <v>2031</v>
      </c>
      <c r="P20" s="61">
        <f t="shared" si="9"/>
        <v>42420</v>
      </c>
      <c r="Q20" s="38">
        <f t="shared" si="0"/>
        <v>16119.6</v>
      </c>
      <c r="R20" s="38">
        <f t="shared" si="1"/>
        <v>101192.91</v>
      </c>
      <c r="S20" s="39"/>
      <c r="T20" s="41">
        <v>2031</v>
      </c>
      <c r="U20" s="61">
        <f t="shared" si="10"/>
        <v>8477.34</v>
      </c>
      <c r="V20" s="38">
        <f t="shared" si="2"/>
        <v>3221.3892000000001</v>
      </c>
      <c r="W20" s="38">
        <f t="shared" si="3"/>
        <v>20222.69457</v>
      </c>
      <c r="X20" s="40"/>
      <c r="Y20" s="41">
        <v>2031</v>
      </c>
      <c r="Z20" s="61">
        <f t="shared" si="11"/>
        <v>867.06</v>
      </c>
      <c r="AA20" s="38">
        <f t="shared" si="5"/>
        <v>329.4828</v>
      </c>
      <c r="AB20" s="38">
        <f t="shared" si="6"/>
        <v>2068.3716299999996</v>
      </c>
      <c r="AD20" s="17">
        <f t="shared" si="7"/>
        <v>51764.399999999994</v>
      </c>
    </row>
    <row r="21" spans="1:30">
      <c r="G21" s="21">
        <v>1986</v>
      </c>
      <c r="H21" s="21">
        <v>2004</v>
      </c>
      <c r="I21" s="22" t="s">
        <v>21</v>
      </c>
      <c r="O21" s="41">
        <v>2032</v>
      </c>
      <c r="P21" s="61">
        <f t="shared" si="9"/>
        <v>42420</v>
      </c>
      <c r="Q21" s="38">
        <f t="shared" si="0"/>
        <v>16119.6</v>
      </c>
      <c r="R21" s="38">
        <f t="shared" si="1"/>
        <v>101192.91</v>
      </c>
      <c r="S21" s="39"/>
      <c r="T21" s="41">
        <v>2032</v>
      </c>
      <c r="U21" s="61">
        <f t="shared" si="10"/>
        <v>8477.34</v>
      </c>
      <c r="V21" s="38">
        <f t="shared" si="2"/>
        <v>3221.3892000000001</v>
      </c>
      <c r="W21" s="38">
        <f t="shared" si="3"/>
        <v>20222.69457</v>
      </c>
      <c r="X21" s="40"/>
      <c r="Y21" s="41">
        <v>2032</v>
      </c>
      <c r="Z21" s="61">
        <f t="shared" si="11"/>
        <v>867.06</v>
      </c>
      <c r="AA21" s="38">
        <f t="shared" si="5"/>
        <v>329.4828</v>
      </c>
      <c r="AB21" s="38">
        <f t="shared" si="6"/>
        <v>2068.3716299999996</v>
      </c>
      <c r="AD21" s="17">
        <f t="shared" si="7"/>
        <v>51764.399999999994</v>
      </c>
    </row>
    <row r="22" spans="1:30" ht="16.350000000000001" customHeight="1">
      <c r="A22" s="145" t="s">
        <v>27</v>
      </c>
      <c r="B22" s="145"/>
      <c r="C22" s="145"/>
      <c r="D22" s="145"/>
      <c r="E22" s="145"/>
      <c r="F22" s="24"/>
      <c r="G22" s="158" t="s">
        <v>28</v>
      </c>
      <c r="H22" s="159"/>
      <c r="I22" s="160"/>
      <c r="O22" s="41">
        <v>2033</v>
      </c>
      <c r="P22" s="61">
        <f t="shared" si="9"/>
        <v>42420</v>
      </c>
      <c r="Q22" s="38">
        <f t="shared" si="0"/>
        <v>16119.6</v>
      </c>
      <c r="R22" s="38">
        <f t="shared" si="1"/>
        <v>101192.91</v>
      </c>
      <c r="S22" s="39"/>
      <c r="T22" s="41">
        <v>2033</v>
      </c>
      <c r="U22" s="61">
        <f t="shared" si="10"/>
        <v>8477.34</v>
      </c>
      <c r="V22" s="38">
        <f t="shared" si="2"/>
        <v>3221.3892000000001</v>
      </c>
      <c r="W22" s="38">
        <f t="shared" si="3"/>
        <v>20222.69457</v>
      </c>
      <c r="X22" s="40"/>
      <c r="Y22" s="41">
        <v>2033</v>
      </c>
      <c r="Z22" s="61">
        <f t="shared" si="11"/>
        <v>867.06</v>
      </c>
      <c r="AA22" s="38">
        <f t="shared" si="5"/>
        <v>329.4828</v>
      </c>
      <c r="AB22" s="38">
        <f t="shared" si="6"/>
        <v>2068.3716299999996</v>
      </c>
      <c r="AD22" s="17">
        <f t="shared" si="7"/>
        <v>51764.399999999994</v>
      </c>
    </row>
    <row r="23" spans="1:30" ht="15" customHeight="1">
      <c r="A23" s="145"/>
      <c r="B23" s="145"/>
      <c r="C23" s="145"/>
      <c r="D23" s="145"/>
      <c r="E23" s="145"/>
      <c r="F23" s="24"/>
      <c r="G23" s="20">
        <v>11.47</v>
      </c>
      <c r="H23" s="20">
        <v>18.32</v>
      </c>
      <c r="I23" s="20">
        <f>H23-G23</f>
        <v>6.85</v>
      </c>
      <c r="O23" s="41">
        <v>2034</v>
      </c>
      <c r="P23" s="61">
        <f t="shared" si="9"/>
        <v>42420</v>
      </c>
      <c r="Q23" s="38">
        <f t="shared" si="0"/>
        <v>16119.6</v>
      </c>
      <c r="R23" s="38">
        <f t="shared" si="1"/>
        <v>101192.91</v>
      </c>
      <c r="S23" s="39"/>
      <c r="T23" s="41">
        <v>2034</v>
      </c>
      <c r="U23" s="61">
        <f t="shared" si="10"/>
        <v>8477.34</v>
      </c>
      <c r="V23" s="38">
        <f t="shared" si="2"/>
        <v>3221.3892000000001</v>
      </c>
      <c r="W23" s="38">
        <f t="shared" si="3"/>
        <v>20222.69457</v>
      </c>
      <c r="X23" s="40"/>
      <c r="Y23" s="41">
        <v>2034</v>
      </c>
      <c r="Z23" s="61">
        <f t="shared" si="11"/>
        <v>867.06</v>
      </c>
      <c r="AA23" s="38">
        <f t="shared" si="5"/>
        <v>329.4828</v>
      </c>
      <c r="AB23" s="38">
        <f t="shared" si="6"/>
        <v>2068.3716299999996</v>
      </c>
      <c r="AD23" s="17">
        <f t="shared" si="7"/>
        <v>51764.399999999994</v>
      </c>
    </row>
    <row r="24" spans="1:30" ht="18" customHeight="1">
      <c r="A24" s="145"/>
      <c r="B24" s="145"/>
      <c r="C24" s="145"/>
      <c r="D24" s="145"/>
      <c r="E24" s="145"/>
      <c r="F24" s="24"/>
      <c r="G24" s="20">
        <v>12.63</v>
      </c>
      <c r="H24" s="20">
        <v>18.170000000000002</v>
      </c>
      <c r="I24" s="20">
        <f>H24-G24</f>
        <v>5.5400000000000009</v>
      </c>
      <c r="O24" s="41">
        <v>2035</v>
      </c>
      <c r="P24" s="61">
        <f t="shared" si="9"/>
        <v>42420</v>
      </c>
      <c r="Q24" s="38">
        <f t="shared" si="0"/>
        <v>16119.6</v>
      </c>
      <c r="R24" s="38">
        <f t="shared" si="1"/>
        <v>101192.91</v>
      </c>
      <c r="S24" s="39"/>
      <c r="T24" s="41">
        <v>2035</v>
      </c>
      <c r="U24" s="61">
        <f t="shared" si="10"/>
        <v>8477.34</v>
      </c>
      <c r="V24" s="38">
        <f>U24*$I$6</f>
        <v>3221.3892000000001</v>
      </c>
      <c r="W24" s="38">
        <f t="shared" si="3"/>
        <v>20222.69457</v>
      </c>
      <c r="X24" s="40"/>
      <c r="Y24" s="41">
        <v>2035</v>
      </c>
      <c r="Z24" s="61">
        <f t="shared" si="11"/>
        <v>867.06</v>
      </c>
      <c r="AA24" s="38">
        <f t="shared" si="5"/>
        <v>329.4828</v>
      </c>
      <c r="AB24" s="38">
        <f t="shared" si="6"/>
        <v>2068.3716299999996</v>
      </c>
      <c r="AD24" s="17">
        <f t="shared" si="7"/>
        <v>51764.399999999994</v>
      </c>
    </row>
    <row r="25" spans="1:30">
      <c r="A25" s="145"/>
      <c r="B25" s="145"/>
      <c r="C25" s="145"/>
      <c r="D25" s="145"/>
      <c r="E25" s="145"/>
      <c r="F25" s="24"/>
      <c r="G25" s="20">
        <v>12.53</v>
      </c>
      <c r="H25" s="20">
        <v>18.059999999999999</v>
      </c>
      <c r="I25" s="20">
        <f>H25-G25</f>
        <v>5.5299999999999994</v>
      </c>
      <c r="O25" s="41">
        <v>2036</v>
      </c>
      <c r="P25" s="61">
        <f t="shared" si="9"/>
        <v>42420</v>
      </c>
      <c r="Q25" s="38">
        <f t="shared" si="0"/>
        <v>16119.6</v>
      </c>
      <c r="R25" s="38">
        <f t="shared" si="1"/>
        <v>101192.91</v>
      </c>
      <c r="S25" s="39"/>
      <c r="T25" s="41">
        <v>2036</v>
      </c>
      <c r="U25" s="61">
        <f t="shared" si="10"/>
        <v>8477.34</v>
      </c>
      <c r="V25" s="38">
        <f t="shared" ref="V25:V35" si="12">U25*$I$6</f>
        <v>3221.3892000000001</v>
      </c>
      <c r="W25" s="38">
        <f t="shared" si="3"/>
        <v>20222.69457</v>
      </c>
      <c r="X25" s="40"/>
      <c r="Y25" s="41">
        <v>2036</v>
      </c>
      <c r="Z25" s="61">
        <f t="shared" si="11"/>
        <v>867.06</v>
      </c>
      <c r="AA25" s="38">
        <f t="shared" si="5"/>
        <v>329.4828</v>
      </c>
      <c r="AB25" s="38">
        <f t="shared" si="6"/>
        <v>2068.3716299999996</v>
      </c>
      <c r="AD25" s="17">
        <f t="shared" si="7"/>
        <v>51764.399999999994</v>
      </c>
    </row>
    <row r="26" spans="1:30">
      <c r="A26" s="46"/>
      <c r="B26" s="46"/>
      <c r="C26" s="46"/>
      <c r="G26" s="1"/>
      <c r="H26" s="3"/>
      <c r="I26" s="3"/>
      <c r="J26" s="3"/>
      <c r="K26" s="3"/>
      <c r="L26" s="3"/>
      <c r="M26" s="3"/>
      <c r="N26" s="3"/>
      <c r="O26" s="41">
        <v>2037</v>
      </c>
      <c r="P26" s="61">
        <f t="shared" si="9"/>
        <v>42420</v>
      </c>
      <c r="Q26" s="38">
        <f t="shared" si="0"/>
        <v>16119.6</v>
      </c>
      <c r="R26" s="38">
        <f t="shared" si="1"/>
        <v>101192.91</v>
      </c>
      <c r="S26" s="1"/>
      <c r="T26" s="41">
        <v>2037</v>
      </c>
      <c r="U26" s="61">
        <f t="shared" si="10"/>
        <v>8477.34</v>
      </c>
      <c r="V26" s="38">
        <f t="shared" si="12"/>
        <v>3221.3892000000001</v>
      </c>
      <c r="W26" s="38">
        <f t="shared" si="3"/>
        <v>20222.69457</v>
      </c>
      <c r="X26" s="1"/>
      <c r="Y26" s="41">
        <v>2037</v>
      </c>
      <c r="Z26" s="61">
        <f t="shared" si="11"/>
        <v>867.06</v>
      </c>
      <c r="AA26" s="38">
        <f t="shared" si="5"/>
        <v>329.4828</v>
      </c>
      <c r="AB26" s="38">
        <f t="shared" si="6"/>
        <v>2068.3716299999996</v>
      </c>
      <c r="AD26" s="17">
        <f t="shared" si="7"/>
        <v>51764.399999999994</v>
      </c>
    </row>
    <row r="27" spans="1:30">
      <c r="A27" s="46"/>
      <c r="B27" s="46"/>
      <c r="C27" s="46"/>
      <c r="G27" s="1"/>
      <c r="H27" s="3"/>
      <c r="I27" s="3"/>
      <c r="J27" s="3"/>
      <c r="K27" s="3"/>
      <c r="L27" s="3"/>
      <c r="M27" s="3"/>
      <c r="N27" s="3"/>
      <c r="O27" s="41">
        <v>2038</v>
      </c>
      <c r="P27" s="61">
        <f t="shared" si="9"/>
        <v>42420</v>
      </c>
      <c r="Q27" s="38">
        <f t="shared" si="0"/>
        <v>16119.6</v>
      </c>
      <c r="R27" s="38">
        <f t="shared" si="1"/>
        <v>101192.91</v>
      </c>
      <c r="S27" s="1"/>
      <c r="T27" s="41">
        <v>2038</v>
      </c>
      <c r="U27" s="61">
        <f t="shared" si="10"/>
        <v>8477.34</v>
      </c>
      <c r="V27" s="38">
        <f t="shared" si="12"/>
        <v>3221.3892000000001</v>
      </c>
      <c r="W27" s="38">
        <f t="shared" si="3"/>
        <v>20222.69457</v>
      </c>
      <c r="X27" s="1"/>
      <c r="Y27" s="41">
        <v>2038</v>
      </c>
      <c r="Z27" s="61">
        <f t="shared" si="11"/>
        <v>867.06</v>
      </c>
      <c r="AA27" s="38">
        <f t="shared" si="5"/>
        <v>329.4828</v>
      </c>
      <c r="AB27" s="38">
        <f t="shared" si="6"/>
        <v>2068.3716299999996</v>
      </c>
      <c r="AD27" s="17">
        <f t="shared" si="7"/>
        <v>51764.399999999994</v>
      </c>
    </row>
    <row r="28" spans="1:30">
      <c r="A28" s="46"/>
      <c r="B28" s="46"/>
      <c r="C28" s="46"/>
      <c r="G28" s="1"/>
      <c r="H28" s="3"/>
      <c r="I28" s="3"/>
      <c r="J28" s="3"/>
      <c r="K28" s="3"/>
      <c r="L28" s="3"/>
      <c r="M28" s="3"/>
      <c r="N28" s="3"/>
      <c r="O28" s="41">
        <v>2039</v>
      </c>
      <c r="P28" s="61">
        <f t="shared" si="9"/>
        <v>42420</v>
      </c>
      <c r="Q28" s="38">
        <f t="shared" si="0"/>
        <v>16119.6</v>
      </c>
      <c r="R28" s="38">
        <f t="shared" si="1"/>
        <v>101192.91</v>
      </c>
      <c r="S28" s="1"/>
      <c r="T28" s="41">
        <v>2039</v>
      </c>
      <c r="U28" s="61">
        <f t="shared" si="10"/>
        <v>8477.34</v>
      </c>
      <c r="V28" s="38">
        <f t="shared" si="12"/>
        <v>3221.3892000000001</v>
      </c>
      <c r="W28" s="38">
        <f t="shared" si="3"/>
        <v>20222.69457</v>
      </c>
      <c r="X28" s="1"/>
      <c r="Y28" s="41">
        <v>2039</v>
      </c>
      <c r="Z28" s="61">
        <f t="shared" si="11"/>
        <v>867.06</v>
      </c>
      <c r="AA28" s="38">
        <f t="shared" si="5"/>
        <v>329.4828</v>
      </c>
      <c r="AB28" s="38">
        <f t="shared" si="6"/>
        <v>2068.3716299999996</v>
      </c>
      <c r="AD28" s="17">
        <f t="shared" si="7"/>
        <v>51764.399999999994</v>
      </c>
    </row>
    <row r="29" spans="1:30">
      <c r="A29" s="46"/>
      <c r="B29" s="46"/>
      <c r="C29" s="46"/>
      <c r="G29" s="1"/>
      <c r="H29" s="3"/>
      <c r="I29" s="3"/>
      <c r="J29" s="3"/>
      <c r="K29" s="3"/>
      <c r="L29" s="3"/>
      <c r="M29" s="3"/>
      <c r="N29" s="3"/>
      <c r="O29" s="41">
        <v>2040</v>
      </c>
      <c r="P29" s="61">
        <f t="shared" si="9"/>
        <v>42420</v>
      </c>
      <c r="Q29" s="38">
        <f t="shared" si="0"/>
        <v>16119.6</v>
      </c>
      <c r="R29" s="38">
        <f t="shared" si="1"/>
        <v>101192.91</v>
      </c>
      <c r="S29" s="1"/>
      <c r="T29" s="41">
        <v>2040</v>
      </c>
      <c r="U29" s="61">
        <f t="shared" si="10"/>
        <v>8477.34</v>
      </c>
      <c r="V29" s="38">
        <f t="shared" si="12"/>
        <v>3221.3892000000001</v>
      </c>
      <c r="W29" s="38">
        <f t="shared" si="3"/>
        <v>20222.69457</v>
      </c>
      <c r="X29" s="1"/>
      <c r="Y29" s="41">
        <v>2040</v>
      </c>
      <c r="Z29" s="61">
        <f t="shared" si="11"/>
        <v>867.06</v>
      </c>
      <c r="AA29" s="38">
        <f t="shared" si="5"/>
        <v>329.4828</v>
      </c>
      <c r="AB29" s="38">
        <f t="shared" si="6"/>
        <v>2068.3716299999996</v>
      </c>
      <c r="AD29" s="17">
        <f t="shared" si="7"/>
        <v>51764.399999999994</v>
      </c>
    </row>
    <row r="30" spans="1:30">
      <c r="A30" s="46"/>
      <c r="B30" s="46"/>
      <c r="C30" s="46"/>
      <c r="G30" s="1"/>
      <c r="H30" s="3"/>
      <c r="I30" s="3"/>
      <c r="J30" s="3"/>
      <c r="K30" s="3"/>
      <c r="L30" s="3"/>
      <c r="M30" s="3"/>
      <c r="N30" s="3"/>
      <c r="O30" s="41">
        <v>2041</v>
      </c>
      <c r="P30" s="61">
        <f t="shared" si="9"/>
        <v>42420</v>
      </c>
      <c r="Q30" s="38">
        <f t="shared" si="0"/>
        <v>16119.6</v>
      </c>
      <c r="R30" s="38">
        <f t="shared" si="1"/>
        <v>101192.91</v>
      </c>
      <c r="S30" s="1"/>
      <c r="T30" s="41">
        <v>2041</v>
      </c>
      <c r="U30" s="61">
        <f t="shared" si="10"/>
        <v>8477.34</v>
      </c>
      <c r="V30" s="38">
        <f t="shared" si="12"/>
        <v>3221.3892000000001</v>
      </c>
      <c r="W30" s="38">
        <f t="shared" si="3"/>
        <v>20222.69457</v>
      </c>
      <c r="X30" s="1"/>
      <c r="Y30" s="41">
        <v>2041</v>
      </c>
      <c r="Z30" s="61">
        <f t="shared" si="11"/>
        <v>867.06</v>
      </c>
      <c r="AA30" s="38">
        <f t="shared" si="5"/>
        <v>329.4828</v>
      </c>
      <c r="AB30" s="38">
        <f t="shared" si="6"/>
        <v>2068.3716299999996</v>
      </c>
      <c r="AD30" s="17">
        <f t="shared" si="7"/>
        <v>51764.399999999994</v>
      </c>
    </row>
    <row r="31" spans="1:30">
      <c r="A31" s="46"/>
      <c r="B31" s="46"/>
      <c r="C31" s="46"/>
      <c r="G31" s="1"/>
      <c r="H31" s="3"/>
      <c r="I31" s="3"/>
      <c r="J31" s="3"/>
      <c r="K31" s="3"/>
      <c r="L31" s="3"/>
      <c r="M31" s="3"/>
      <c r="N31" s="3"/>
      <c r="O31" s="41">
        <v>2042</v>
      </c>
      <c r="P31" s="61">
        <f t="shared" si="9"/>
        <v>42420</v>
      </c>
      <c r="Q31" s="38">
        <f t="shared" si="0"/>
        <v>16119.6</v>
      </c>
      <c r="R31" s="38">
        <f t="shared" si="1"/>
        <v>101192.91</v>
      </c>
      <c r="S31" s="1"/>
      <c r="T31" s="41">
        <v>2042</v>
      </c>
      <c r="U31" s="61">
        <f t="shared" si="10"/>
        <v>8477.34</v>
      </c>
      <c r="V31" s="38">
        <f t="shared" si="12"/>
        <v>3221.3892000000001</v>
      </c>
      <c r="W31" s="38">
        <f t="shared" si="3"/>
        <v>20222.69457</v>
      </c>
      <c r="X31" s="1"/>
      <c r="Y31" s="41">
        <v>2042</v>
      </c>
      <c r="Z31" s="61">
        <f t="shared" si="11"/>
        <v>867.06</v>
      </c>
      <c r="AA31" s="38">
        <f t="shared" si="5"/>
        <v>329.4828</v>
      </c>
      <c r="AB31" s="38">
        <f>Z31*$I$7</f>
        <v>2068.3716299999996</v>
      </c>
      <c r="AD31" s="17">
        <f t="shared" si="7"/>
        <v>51764.399999999994</v>
      </c>
    </row>
    <row r="32" spans="1:30">
      <c r="A32" s="46"/>
      <c r="B32" s="46"/>
      <c r="C32" s="46"/>
      <c r="G32" s="1"/>
      <c r="H32" s="3"/>
      <c r="I32" s="3"/>
      <c r="J32" s="3"/>
      <c r="K32" s="3"/>
      <c r="L32" s="3"/>
      <c r="M32" s="3"/>
      <c r="N32" s="3"/>
      <c r="O32" s="41">
        <v>2043</v>
      </c>
      <c r="P32" s="61">
        <f t="shared" si="9"/>
        <v>42420</v>
      </c>
      <c r="Q32" s="38">
        <f t="shared" si="0"/>
        <v>16119.6</v>
      </c>
      <c r="R32" s="38">
        <f t="shared" si="1"/>
        <v>101192.91</v>
      </c>
      <c r="S32" s="1"/>
      <c r="T32" s="41">
        <v>2043</v>
      </c>
      <c r="U32" s="61">
        <f t="shared" si="10"/>
        <v>8477.34</v>
      </c>
      <c r="V32" s="38">
        <f t="shared" si="12"/>
        <v>3221.3892000000001</v>
      </c>
      <c r="W32" s="38">
        <f t="shared" si="3"/>
        <v>20222.69457</v>
      </c>
      <c r="X32" s="1"/>
      <c r="Y32" s="41">
        <v>2043</v>
      </c>
      <c r="Z32" s="61">
        <f t="shared" si="11"/>
        <v>867.06</v>
      </c>
      <c r="AA32" s="38">
        <f t="shared" si="5"/>
        <v>329.4828</v>
      </c>
      <c r="AB32" s="38">
        <f t="shared" si="6"/>
        <v>2068.3716299999996</v>
      </c>
      <c r="AD32" s="17">
        <f t="shared" si="7"/>
        <v>51764.399999999994</v>
      </c>
    </row>
    <row r="33" spans="1:44">
      <c r="A33" s="46"/>
      <c r="B33" s="46"/>
      <c r="C33" s="46"/>
      <c r="G33" s="1"/>
      <c r="H33" s="3"/>
      <c r="I33" s="3"/>
      <c r="J33" s="3"/>
      <c r="K33" s="3"/>
      <c r="L33" s="3"/>
      <c r="M33" s="3"/>
      <c r="N33" s="3"/>
      <c r="O33" s="41">
        <v>2044</v>
      </c>
      <c r="P33" s="61">
        <f t="shared" si="9"/>
        <v>42420</v>
      </c>
      <c r="Q33" s="38">
        <f t="shared" si="0"/>
        <v>16119.6</v>
      </c>
      <c r="R33" s="38">
        <f t="shared" si="1"/>
        <v>101192.91</v>
      </c>
      <c r="S33" s="1"/>
      <c r="T33" s="41">
        <v>2044</v>
      </c>
      <c r="U33" s="61">
        <f t="shared" si="10"/>
        <v>8477.34</v>
      </c>
      <c r="V33" s="38">
        <f>U33*$I$6</f>
        <v>3221.3892000000001</v>
      </c>
      <c r="W33" s="38">
        <f>U33*$I$7</f>
        <v>20222.69457</v>
      </c>
      <c r="X33" s="1"/>
      <c r="Y33" s="41">
        <v>2044</v>
      </c>
      <c r="Z33" s="61">
        <f t="shared" si="11"/>
        <v>867.06</v>
      </c>
      <c r="AA33" s="38">
        <f t="shared" si="5"/>
        <v>329.4828</v>
      </c>
      <c r="AB33" s="38">
        <f>Z33*$I$7</f>
        <v>2068.3716299999996</v>
      </c>
      <c r="AD33" s="17">
        <f t="shared" si="7"/>
        <v>51764.399999999994</v>
      </c>
    </row>
    <row r="34" spans="1:44">
      <c r="A34" s="46"/>
      <c r="B34" s="46"/>
      <c r="C34" s="46"/>
      <c r="G34" s="1"/>
      <c r="H34" s="3"/>
      <c r="I34" s="3"/>
      <c r="J34" s="3"/>
      <c r="K34" s="3"/>
      <c r="L34" s="3"/>
      <c r="M34" s="3"/>
      <c r="N34" s="3"/>
      <c r="O34" s="41">
        <v>2045</v>
      </c>
      <c r="P34" s="61">
        <f t="shared" si="9"/>
        <v>42420</v>
      </c>
      <c r="Q34" s="38">
        <f t="shared" si="0"/>
        <v>16119.6</v>
      </c>
      <c r="R34" s="38">
        <f t="shared" si="1"/>
        <v>101192.91</v>
      </c>
      <c r="S34" s="1"/>
      <c r="T34" s="41">
        <v>2045</v>
      </c>
      <c r="U34" s="61">
        <f t="shared" si="10"/>
        <v>8477.34</v>
      </c>
      <c r="V34" s="38">
        <f t="shared" si="12"/>
        <v>3221.3892000000001</v>
      </c>
      <c r="W34" s="38">
        <f t="shared" si="3"/>
        <v>20222.69457</v>
      </c>
      <c r="X34" s="1"/>
      <c r="Y34" s="41">
        <v>2045</v>
      </c>
      <c r="Z34" s="61">
        <f t="shared" si="11"/>
        <v>867.06</v>
      </c>
      <c r="AA34" s="38">
        <f t="shared" si="5"/>
        <v>329.4828</v>
      </c>
      <c r="AB34" s="38">
        <f t="shared" si="6"/>
        <v>2068.3716299999996</v>
      </c>
      <c r="AD34" s="17">
        <f t="shared" si="7"/>
        <v>51764.399999999994</v>
      </c>
    </row>
    <row r="35" spans="1:44">
      <c r="A35" s="46"/>
      <c r="B35" s="46"/>
      <c r="C35" s="46"/>
      <c r="G35" s="1"/>
      <c r="H35" s="3"/>
      <c r="I35" s="3"/>
      <c r="J35" s="3"/>
      <c r="K35" s="3"/>
      <c r="L35" s="3"/>
      <c r="M35" s="3"/>
      <c r="N35" s="3"/>
      <c r="O35" s="41">
        <v>2046</v>
      </c>
      <c r="P35" s="61">
        <f t="shared" si="9"/>
        <v>42420</v>
      </c>
      <c r="Q35" s="38">
        <f t="shared" si="0"/>
        <v>16119.6</v>
      </c>
      <c r="R35" s="38">
        <f t="shared" si="1"/>
        <v>101192.91</v>
      </c>
      <c r="S35" s="1"/>
      <c r="T35" s="41">
        <v>2046</v>
      </c>
      <c r="U35" s="61">
        <f t="shared" si="10"/>
        <v>8477.34</v>
      </c>
      <c r="V35" s="38">
        <f t="shared" si="12"/>
        <v>3221.3892000000001</v>
      </c>
      <c r="W35" s="38">
        <f>U35*$I$7</f>
        <v>20222.69457</v>
      </c>
      <c r="X35" s="1"/>
      <c r="Y35" s="41">
        <v>2046</v>
      </c>
      <c r="Z35" s="61">
        <f t="shared" si="11"/>
        <v>867.06</v>
      </c>
      <c r="AA35" s="38">
        <f t="shared" si="5"/>
        <v>329.4828</v>
      </c>
      <c r="AB35" s="38">
        <f t="shared" si="6"/>
        <v>2068.3716299999996</v>
      </c>
      <c r="AD35" s="17">
        <f t="shared" si="7"/>
        <v>51764.399999999994</v>
      </c>
    </row>
    <row r="36" spans="1:44">
      <c r="A36" s="46"/>
      <c r="B36" s="46"/>
      <c r="C36" s="46"/>
      <c r="G36" s="1"/>
      <c r="H36" s="3"/>
      <c r="I36" s="3"/>
      <c r="J36" s="3"/>
      <c r="K36" s="3"/>
      <c r="L36" s="3"/>
      <c r="M36" s="3"/>
      <c r="N36" s="3"/>
      <c r="O36" s="41" t="s">
        <v>29</v>
      </c>
      <c r="P36" s="61">
        <f t="shared" si="9"/>
        <v>42420</v>
      </c>
      <c r="Q36" s="38">
        <f>P36*$I$6*9/12</f>
        <v>12089.699999999999</v>
      </c>
      <c r="R36" s="38">
        <f>P36*$I$7*9/12</f>
        <v>75894.68250000001</v>
      </c>
      <c r="S36" s="1"/>
      <c r="T36" s="41" t="s">
        <v>29</v>
      </c>
      <c r="U36" s="61">
        <f t="shared" si="10"/>
        <v>8477.34</v>
      </c>
      <c r="V36" s="38">
        <f>U36*$I$6*9/12</f>
        <v>2416.0419000000002</v>
      </c>
      <c r="W36" s="38">
        <f>U36*$I$7*9/12</f>
        <v>15167.0209275</v>
      </c>
      <c r="X36" s="1"/>
      <c r="Y36" s="41" t="s">
        <v>29</v>
      </c>
      <c r="Z36" s="61">
        <f t="shared" si="11"/>
        <v>867.06</v>
      </c>
      <c r="AA36" s="38">
        <f>Z36*$I$6*9/12</f>
        <v>247.11209999999997</v>
      </c>
      <c r="AB36" s="38">
        <f>Z36*$I$7*9/12</f>
        <v>1551.2787225</v>
      </c>
      <c r="AD36" s="17">
        <f t="shared" si="7"/>
        <v>51764.399999999994</v>
      </c>
    </row>
    <row r="37" spans="1:44">
      <c r="A37" s="46"/>
      <c r="B37" s="46"/>
      <c r="C37" s="46"/>
      <c r="G37" s="1"/>
      <c r="H37" s="3"/>
      <c r="I37" s="3"/>
      <c r="J37" s="3"/>
      <c r="K37" s="3"/>
      <c r="L37" s="3"/>
      <c r="M37" s="3"/>
      <c r="N37" s="3"/>
      <c r="O37" s="3"/>
      <c r="P37" s="4"/>
      <c r="Q37" s="3"/>
      <c r="R37" s="3"/>
      <c r="S37" s="3"/>
      <c r="T37" s="3"/>
      <c r="U37" s="3"/>
      <c r="V37" s="3"/>
      <c r="W37" s="3"/>
      <c r="X37" s="3"/>
      <c r="Y37" s="3"/>
      <c r="Z37" s="4"/>
      <c r="AA37" s="3"/>
      <c r="AB37" s="1"/>
      <c r="AC37" s="1"/>
      <c r="AD37" s="1"/>
    </row>
    <row r="38" spans="1:44">
      <c r="A38" s="46"/>
      <c r="B38" s="46"/>
    </row>
    <row r="39" spans="1:44" ht="14.65" customHeight="1">
      <c r="A39" s="141" t="s">
        <v>30</v>
      </c>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row>
    <row r="40" spans="1:44" ht="14.65" customHeight="1">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row>
    <row r="41" spans="1:44" ht="16.350000000000001" customHeight="1">
      <c r="A41" s="24"/>
      <c r="B41" s="24"/>
    </row>
    <row r="42" spans="1:44">
      <c r="A42" s="24"/>
      <c r="B42" s="140" t="s">
        <v>3</v>
      </c>
      <c r="C42" s="140"/>
      <c r="D42" s="140"/>
      <c r="E42" s="140"/>
      <c r="F42" s="140"/>
      <c r="G42" s="140"/>
      <c r="H42" s="140"/>
      <c r="I42" s="140"/>
      <c r="J42" s="140"/>
      <c r="K42" s="140"/>
      <c r="L42" s="140"/>
      <c r="M42" s="140"/>
      <c r="N42" s="140"/>
      <c r="P42" s="140" t="s">
        <v>4</v>
      </c>
      <c r="Q42" s="140"/>
      <c r="R42" s="140"/>
      <c r="S42" s="140"/>
      <c r="T42" s="140"/>
      <c r="U42" s="140"/>
      <c r="V42" s="140"/>
      <c r="W42" s="140"/>
      <c r="X42" s="140"/>
      <c r="Y42" s="140"/>
      <c r="Z42" s="140"/>
      <c r="AA42" s="140"/>
      <c r="AB42" s="140"/>
      <c r="AD42" s="140" t="s">
        <v>5</v>
      </c>
      <c r="AE42" s="140"/>
      <c r="AF42" s="140"/>
      <c r="AG42" s="140"/>
      <c r="AH42" s="140"/>
      <c r="AI42" s="140"/>
      <c r="AJ42" s="140"/>
      <c r="AK42" s="140"/>
      <c r="AL42" s="140"/>
      <c r="AM42" s="140"/>
      <c r="AN42" s="140"/>
      <c r="AO42" s="140"/>
      <c r="AP42" s="140"/>
    </row>
    <row r="43" spans="1:44" ht="15">
      <c r="A43" s="24"/>
      <c r="B43" s="85" t="s">
        <v>6</v>
      </c>
      <c r="C43" s="85" t="s">
        <v>31</v>
      </c>
      <c r="D43" s="85" t="s">
        <v>32</v>
      </c>
      <c r="E43" s="85" t="s">
        <v>33</v>
      </c>
      <c r="F43" s="85" t="s">
        <v>34</v>
      </c>
      <c r="G43" s="85" t="s">
        <v>35</v>
      </c>
      <c r="H43" s="85" t="s">
        <v>36</v>
      </c>
      <c r="I43" s="85" t="s">
        <v>37</v>
      </c>
      <c r="J43" s="85" t="s">
        <v>38</v>
      </c>
      <c r="K43" s="85" t="s">
        <v>39</v>
      </c>
      <c r="L43" s="85" t="s">
        <v>40</v>
      </c>
      <c r="M43" s="85" t="s">
        <v>41</v>
      </c>
      <c r="N43" s="26" t="s">
        <v>42</v>
      </c>
      <c r="P43" s="85" t="s">
        <v>6</v>
      </c>
      <c r="Q43" s="85" t="s">
        <v>31</v>
      </c>
      <c r="R43" s="85" t="s">
        <v>32</v>
      </c>
      <c r="S43" s="85" t="s">
        <v>33</v>
      </c>
      <c r="T43" s="85" t="s">
        <v>34</v>
      </c>
      <c r="U43" s="85" t="s">
        <v>35</v>
      </c>
      <c r="V43" s="85" t="s">
        <v>36</v>
      </c>
      <c r="W43" s="85" t="s">
        <v>37</v>
      </c>
      <c r="X43" s="85" t="s">
        <v>38</v>
      </c>
      <c r="Y43" s="85" t="s">
        <v>39</v>
      </c>
      <c r="Z43" s="85" t="s">
        <v>40</v>
      </c>
      <c r="AA43" s="85" t="s">
        <v>41</v>
      </c>
      <c r="AB43" s="26" t="s">
        <v>43</v>
      </c>
      <c r="AD43" s="85" t="s">
        <v>6</v>
      </c>
      <c r="AE43" s="85" t="s">
        <v>31</v>
      </c>
      <c r="AF43" s="85" t="s">
        <v>32</v>
      </c>
      <c r="AG43" s="85" t="s">
        <v>33</v>
      </c>
      <c r="AH43" s="85" t="s">
        <v>34</v>
      </c>
      <c r="AI43" s="85" t="s">
        <v>35</v>
      </c>
      <c r="AJ43" s="85" t="s">
        <v>36</v>
      </c>
      <c r="AK43" s="85" t="s">
        <v>37</v>
      </c>
      <c r="AL43" s="85" t="s">
        <v>38</v>
      </c>
      <c r="AM43" s="85" t="s">
        <v>39</v>
      </c>
      <c r="AN43" s="85" t="s">
        <v>40</v>
      </c>
      <c r="AO43" s="85" t="s">
        <v>41</v>
      </c>
      <c r="AP43" s="26" t="s">
        <v>44</v>
      </c>
    </row>
    <row r="44" spans="1:44">
      <c r="A44" s="24"/>
      <c r="B44" s="37" t="s">
        <v>16</v>
      </c>
      <c r="C44" s="60">
        <f>4300*0.9</f>
        <v>3870</v>
      </c>
      <c r="D44" s="99">
        <v>316180.29976801126</v>
      </c>
      <c r="E44" s="99">
        <v>73.523215515437968</v>
      </c>
      <c r="F44" s="99">
        <f>G44*3.14</f>
        <v>0</v>
      </c>
      <c r="G44" s="102">
        <v>0</v>
      </c>
      <c r="H44" s="99">
        <v>0</v>
      </c>
      <c r="I44" s="99">
        <v>0</v>
      </c>
      <c r="J44" s="99">
        <f>I44/1000</f>
        <v>0</v>
      </c>
      <c r="K44" s="100">
        <f>J44/C44</f>
        <v>0</v>
      </c>
      <c r="L44" s="100">
        <f>K44*0.3</f>
        <v>0</v>
      </c>
      <c r="M44" s="100">
        <f>(K44+L44)*0.5</f>
        <v>0</v>
      </c>
      <c r="N44" s="83">
        <f>C44*M44*3.667*(3/12)</f>
        <v>0</v>
      </c>
      <c r="P44" s="37" t="s">
        <v>16</v>
      </c>
      <c r="Q44" s="60">
        <f>871*0.9</f>
        <v>783.9</v>
      </c>
      <c r="R44" s="78">
        <v>59172.304976000058</v>
      </c>
      <c r="S44" s="101">
        <v>67.938311672032341</v>
      </c>
      <c r="T44" s="99">
        <f>U44*3.14</f>
        <v>0</v>
      </c>
      <c r="U44" s="102">
        <v>0</v>
      </c>
      <c r="V44" s="99">
        <v>0</v>
      </c>
      <c r="W44" s="99">
        <v>0</v>
      </c>
      <c r="X44" s="99">
        <f t="shared" ref="X44:X74" si="13">W44/1000</f>
        <v>0</v>
      </c>
      <c r="Y44" s="100">
        <f t="shared" ref="Y44:Y74" si="14">X44/Q44</f>
        <v>0</v>
      </c>
      <c r="Z44" s="100">
        <f>Y44*0.3</f>
        <v>0</v>
      </c>
      <c r="AA44" s="100">
        <f>(Y44+Z44)*0.5</f>
        <v>0</v>
      </c>
      <c r="AB44" s="83">
        <f>Q44*AA44*3.667*(3/12)</f>
        <v>0</v>
      </c>
      <c r="AD44" s="37" t="s">
        <v>16</v>
      </c>
      <c r="AE44" s="60">
        <v>78.542647086435849</v>
      </c>
      <c r="AF44" s="99">
        <v>5378.5664239999978</v>
      </c>
      <c r="AG44" s="101">
        <v>61.631609847231374</v>
      </c>
      <c r="AH44" s="99">
        <f>AI44*3.14</f>
        <v>0</v>
      </c>
      <c r="AI44" s="102">
        <v>0</v>
      </c>
      <c r="AJ44" s="99">
        <v>0</v>
      </c>
      <c r="AK44" s="99">
        <v>0</v>
      </c>
      <c r="AL44" s="99">
        <f>AK44/1000</f>
        <v>0</v>
      </c>
      <c r="AM44" s="100">
        <f>AL44/AE44</f>
        <v>0</v>
      </c>
      <c r="AN44" s="100">
        <f>AM44*0.3</f>
        <v>0</v>
      </c>
      <c r="AO44" s="100">
        <f>(AM44+AN44)*0.5</f>
        <v>0</v>
      </c>
      <c r="AP44" s="83">
        <f>AE44*AO44*3.667*(3/12)</f>
        <v>0</v>
      </c>
      <c r="AR44" s="17"/>
    </row>
    <row r="45" spans="1:44">
      <c r="A45" s="24"/>
      <c r="B45" s="41">
        <v>2018</v>
      </c>
      <c r="C45" s="60">
        <f t="shared" ref="C45:C49" si="15">4300*0.9</f>
        <v>3870</v>
      </c>
      <c r="D45" s="99">
        <v>316180.29976801126</v>
      </c>
      <c r="E45" s="99">
        <v>73.523215515437968</v>
      </c>
      <c r="F45" s="99">
        <f>8</f>
        <v>8</v>
      </c>
      <c r="G45" s="102">
        <f>F45/3.14</f>
        <v>2.5477707006369426</v>
      </c>
      <c r="H45" s="99">
        <f t="shared" ref="H45:H74" si="16">EXP(-1.996+2.32*LN(G45))</f>
        <v>1.1897075027264421</v>
      </c>
      <c r="I45" s="99">
        <f t="shared" ref="I45:I74" si="17">D45*H45</f>
        <v>376162.07484829857</v>
      </c>
      <c r="J45" s="99">
        <f t="shared" ref="J45:J74" si="18">I45/1000</f>
        <v>376.16207484829857</v>
      </c>
      <c r="K45" s="100">
        <f t="shared" ref="K45:K74" si="19">J45/C45</f>
        <v>9.7199502544779992E-2</v>
      </c>
      <c r="L45" s="100">
        <f t="shared" ref="L45:L74" si="20">K45*0.3</f>
        <v>2.9159850763433998E-2</v>
      </c>
      <c r="M45" s="100">
        <f t="shared" ref="M45:M74" si="21">(K45+L45)*0.5</f>
        <v>6.3179676654106995E-2</v>
      </c>
      <c r="N45" s="101">
        <f>C45*M45*3.667</f>
        <v>896.60111350466195</v>
      </c>
      <c r="P45" s="41">
        <v>2018</v>
      </c>
      <c r="Q45" s="60">
        <f t="shared" ref="Q45:Q49" si="22">871*0.9</f>
        <v>783.9</v>
      </c>
      <c r="R45" s="78">
        <v>59172.304976000058</v>
      </c>
      <c r="S45" s="101">
        <v>67.938311672032341</v>
      </c>
      <c r="T45" s="99">
        <f>8</f>
        <v>8</v>
      </c>
      <c r="U45" s="102">
        <f>T45/3.14</f>
        <v>2.5477707006369426</v>
      </c>
      <c r="V45" s="99">
        <f t="shared" ref="V45:V74" si="23">EXP(-2.134+2.53*LN(U45))</f>
        <v>1.2612501563524974</v>
      </c>
      <c r="W45" s="99">
        <f t="shared" ref="W45:W74" si="24">R45*V45</f>
        <v>74631.078902717738</v>
      </c>
      <c r="X45" s="99">
        <f t="shared" si="13"/>
        <v>74.631078902717732</v>
      </c>
      <c r="Y45" s="100">
        <f t="shared" si="14"/>
        <v>9.5204846157313089E-2</v>
      </c>
      <c r="Z45" s="100">
        <f t="shared" ref="Z45:Z74" si="25">Y45*0.3</f>
        <v>2.8561453847193927E-2</v>
      </c>
      <c r="AA45" s="100">
        <f t="shared" ref="AA45:AA74" si="26">(Y45+Z45)*0.5</f>
        <v>6.1883150002253508E-2</v>
      </c>
      <c r="AB45" s="101">
        <f>Q45*AA45*3.667</f>
        <v>177.88690811857285</v>
      </c>
      <c r="AD45" s="41">
        <v>2018</v>
      </c>
      <c r="AE45" s="60">
        <v>78.542647086435849</v>
      </c>
      <c r="AF45" s="99">
        <v>5378.5664239999978</v>
      </c>
      <c r="AG45" s="101">
        <v>61.631609847231374</v>
      </c>
      <c r="AH45" s="99">
        <f>8</f>
        <v>8</v>
      </c>
      <c r="AI45" s="102">
        <f>AH45/3.14</f>
        <v>2.5477707006369426</v>
      </c>
      <c r="AJ45" s="99">
        <f t="shared" ref="AJ45:AJ74" si="27">EXP(-2.134+2.53*LN(AI45))</f>
        <v>1.2612501563524974</v>
      </c>
      <c r="AK45" s="99">
        <f t="shared" ref="AK45:AK74" si="28">AF45*AJ45</f>
        <v>6783.7177432222898</v>
      </c>
      <c r="AL45" s="99">
        <f t="shared" ref="AL45:AL74" si="29">AK45/1000</f>
        <v>6.7837177432222902</v>
      </c>
      <c r="AM45" s="100">
        <f t="shared" ref="AM45:AM74" si="30">AL45/AE45</f>
        <v>8.6369863951196321E-2</v>
      </c>
      <c r="AN45" s="100">
        <f t="shared" ref="AN45:AN74" si="31">AM45*0.3</f>
        <v>2.5910959185358896E-2</v>
      </c>
      <c r="AO45" s="100">
        <f t="shared" ref="AO45:AO74" si="32">(AM45+AN45)*0.5</f>
        <v>5.6140411568277607E-2</v>
      </c>
      <c r="AP45" s="101">
        <f>AE45*AO45*3.667</f>
        <v>16.169330426857488</v>
      </c>
      <c r="AR45" s="17"/>
    </row>
    <row r="46" spans="1:44">
      <c r="A46" s="24"/>
      <c r="B46" s="41">
        <v>2019</v>
      </c>
      <c r="C46" s="60">
        <f t="shared" si="15"/>
        <v>3870</v>
      </c>
      <c r="D46" s="99">
        <v>316180.29976801126</v>
      </c>
      <c r="E46" s="99">
        <v>73.523215515437968</v>
      </c>
      <c r="F46" s="99">
        <v>16</v>
      </c>
      <c r="G46" s="102">
        <f t="shared" ref="G46:G74" si="33">F46/3.14</f>
        <v>5.0955414012738851</v>
      </c>
      <c r="H46" s="99">
        <f t="shared" si="16"/>
        <v>5.9405928796434608</v>
      </c>
      <c r="I46" s="99">
        <f t="shared" si="17"/>
        <v>1878298.4374853827</v>
      </c>
      <c r="J46" s="99">
        <f t="shared" si="18"/>
        <v>1878.2984374853827</v>
      </c>
      <c r="K46" s="100">
        <f t="shared" si="19"/>
        <v>0.48534843345875522</v>
      </c>
      <c r="L46" s="100">
        <f t="shared" si="20"/>
        <v>0.14560453003762655</v>
      </c>
      <c r="M46" s="100">
        <f t="shared" si="21"/>
        <v>0.31547648174819087</v>
      </c>
      <c r="N46" s="101">
        <f>C46*M46*3.667</f>
        <v>4477.0182406682834</v>
      </c>
      <c r="P46" s="41">
        <v>2019</v>
      </c>
      <c r="Q46" s="60">
        <f t="shared" si="22"/>
        <v>783.9</v>
      </c>
      <c r="R46" s="78">
        <v>59172.304976000058</v>
      </c>
      <c r="S46" s="101">
        <v>67.938311672032341</v>
      </c>
      <c r="T46" s="99">
        <v>16</v>
      </c>
      <c r="U46" s="102">
        <f t="shared" ref="U46:U74" si="34">T46/3.14</f>
        <v>5.0955414012738851</v>
      </c>
      <c r="V46" s="99">
        <f t="shared" si="23"/>
        <v>7.2846236944587295</v>
      </c>
      <c r="W46" s="99">
        <f t="shared" si="24"/>
        <v>431047.97488390817</v>
      </c>
      <c r="X46" s="99">
        <f t="shared" si="13"/>
        <v>431.04797488390818</v>
      </c>
      <c r="Y46" s="100">
        <f t="shared" si="14"/>
        <v>0.54987622768708788</v>
      </c>
      <c r="Z46" s="100">
        <f t="shared" si="25"/>
        <v>0.16496286830612636</v>
      </c>
      <c r="AA46" s="100">
        <f t="shared" si="26"/>
        <v>0.35741954799660713</v>
      </c>
      <c r="AB46" s="101">
        <f t="shared" ref="AB46:AB73" si="35">Q46*AA46*3.667</f>
        <v>1027.4244005345392</v>
      </c>
      <c r="AD46" s="41">
        <v>2019</v>
      </c>
      <c r="AE46" s="60">
        <v>78.542647086435849</v>
      </c>
      <c r="AF46" s="99">
        <v>5378.5664239999978</v>
      </c>
      <c r="AG46" s="101">
        <v>61.631609847231374</v>
      </c>
      <c r="AH46" s="99">
        <v>16</v>
      </c>
      <c r="AI46" s="102">
        <f t="shared" ref="AI46:AI74" si="36">AH46/3.14</f>
        <v>5.0955414012738851</v>
      </c>
      <c r="AJ46" s="99">
        <f t="shared" si="27"/>
        <v>7.2846236944587295</v>
      </c>
      <c r="AK46" s="99">
        <f t="shared" si="28"/>
        <v>39180.832414490542</v>
      </c>
      <c r="AL46" s="99">
        <f t="shared" si="29"/>
        <v>39.180832414490538</v>
      </c>
      <c r="AM46" s="100">
        <f t="shared" si="30"/>
        <v>0.49884787268975284</v>
      </c>
      <c r="AN46" s="100">
        <f t="shared" si="31"/>
        <v>0.14965436180692585</v>
      </c>
      <c r="AO46" s="100">
        <f t="shared" si="32"/>
        <v>0.32425111724833933</v>
      </c>
      <c r="AP46" s="101">
        <f t="shared" ref="AP46:AP73" si="37">AE46*AO46*3.667</f>
        <v>93.389473101558906</v>
      </c>
      <c r="AR46" s="17"/>
    </row>
    <row r="47" spans="1:44">
      <c r="A47" s="24"/>
      <c r="B47" s="41">
        <v>2020</v>
      </c>
      <c r="C47" s="60">
        <f t="shared" si="15"/>
        <v>3870</v>
      </c>
      <c r="D47" s="99">
        <v>316180.29976801126</v>
      </c>
      <c r="E47" s="99">
        <v>73.523215515437968</v>
      </c>
      <c r="F47" s="99">
        <v>24</v>
      </c>
      <c r="G47" s="102">
        <f t="shared" si="33"/>
        <v>7.6433121019108281</v>
      </c>
      <c r="H47" s="99">
        <f t="shared" si="16"/>
        <v>15.218137766714198</v>
      </c>
      <c r="I47" s="99">
        <f t="shared" si="17"/>
        <v>4811675.3609905886</v>
      </c>
      <c r="J47" s="99">
        <f t="shared" si="18"/>
        <v>4811.6753609905882</v>
      </c>
      <c r="K47" s="100">
        <f t="shared" si="19"/>
        <v>1.2433269666642346</v>
      </c>
      <c r="L47" s="100">
        <f t="shared" si="20"/>
        <v>0.37299808999927037</v>
      </c>
      <c r="M47" s="100">
        <f t="shared" si="21"/>
        <v>0.80816252833175251</v>
      </c>
      <c r="N47" s="101">
        <f t="shared" ref="N47:N73" si="38">C47*M47*3.667</f>
        <v>11468.868806689115</v>
      </c>
      <c r="P47" s="41">
        <v>2020</v>
      </c>
      <c r="Q47" s="60">
        <f t="shared" si="22"/>
        <v>783.9</v>
      </c>
      <c r="R47" s="78">
        <v>59172.304976000058</v>
      </c>
      <c r="S47" s="101">
        <v>67.938311672032341</v>
      </c>
      <c r="T47" s="99">
        <v>24</v>
      </c>
      <c r="U47" s="102">
        <f t="shared" si="34"/>
        <v>7.6433121019108281</v>
      </c>
      <c r="V47" s="99">
        <f t="shared" si="23"/>
        <v>20.319733490155009</v>
      </c>
      <c r="W47" s="99">
        <f t="shared" si="24"/>
        <v>1202365.4671104944</v>
      </c>
      <c r="X47" s="99">
        <f t="shared" si="13"/>
        <v>1202.3654671104944</v>
      </c>
      <c r="Y47" s="100">
        <f t="shared" si="14"/>
        <v>1.533825063286764</v>
      </c>
      <c r="Z47" s="100">
        <f t="shared" si="25"/>
        <v>0.46014751898602918</v>
      </c>
      <c r="AA47" s="100">
        <f t="shared" si="26"/>
        <v>0.99698629113639659</v>
      </c>
      <c r="AB47" s="101">
        <f t="shared" si="35"/>
        <v>2865.8982091312187</v>
      </c>
      <c r="AD47" s="41">
        <v>2020</v>
      </c>
      <c r="AE47" s="60">
        <v>78.542647086435849</v>
      </c>
      <c r="AF47" s="99">
        <v>5378.5664239999978</v>
      </c>
      <c r="AG47" s="101">
        <v>61.631609847231374</v>
      </c>
      <c r="AH47" s="99">
        <v>24</v>
      </c>
      <c r="AI47" s="102">
        <f t="shared" si="36"/>
        <v>7.6433121019108281</v>
      </c>
      <c r="AJ47" s="99">
        <f t="shared" si="27"/>
        <v>20.319733490155009</v>
      </c>
      <c r="AK47" s="99">
        <f t="shared" si="28"/>
        <v>109291.03629477603</v>
      </c>
      <c r="AL47" s="99">
        <f t="shared" si="29"/>
        <v>109.29103629477603</v>
      </c>
      <c r="AM47" s="100">
        <f t="shared" si="30"/>
        <v>1.3914865407388386</v>
      </c>
      <c r="AN47" s="100">
        <f t="shared" si="31"/>
        <v>0.41744596222165159</v>
      </c>
      <c r="AO47" s="100">
        <f t="shared" si="32"/>
        <v>0.90446625148024506</v>
      </c>
      <c r="AP47" s="101">
        <f t="shared" si="37"/>
        <v>260.50064956041342</v>
      </c>
      <c r="AR47" s="17"/>
    </row>
    <row r="48" spans="1:44">
      <c r="A48" s="24"/>
      <c r="B48" s="41">
        <v>2021</v>
      </c>
      <c r="C48" s="60">
        <f t="shared" si="15"/>
        <v>3870</v>
      </c>
      <c r="D48" s="99">
        <v>316180.29976801126</v>
      </c>
      <c r="E48" s="99">
        <v>73.523215515437968</v>
      </c>
      <c r="F48" s="99">
        <v>32</v>
      </c>
      <c r="G48" s="102">
        <f t="shared" si="33"/>
        <v>10.19108280254777</v>
      </c>
      <c r="H48" s="99">
        <f t="shared" si="16"/>
        <v>29.663294280985298</v>
      </c>
      <c r="I48" s="99">
        <f t="shared" si="17"/>
        <v>9378949.2778686658</v>
      </c>
      <c r="J48" s="99">
        <f t="shared" si="18"/>
        <v>9378.9492778686654</v>
      </c>
      <c r="K48" s="100">
        <f t="shared" si="19"/>
        <v>2.42350110539242</v>
      </c>
      <c r="L48" s="100">
        <f t="shared" si="20"/>
        <v>0.72705033161772603</v>
      </c>
      <c r="M48" s="100">
        <f t="shared" si="21"/>
        <v>1.575275718505073</v>
      </c>
      <c r="N48" s="101">
        <f t="shared" si="38"/>
        <v>22355.194551263856</v>
      </c>
      <c r="P48" s="41">
        <v>2021</v>
      </c>
      <c r="Q48" s="60">
        <f t="shared" si="22"/>
        <v>783.9</v>
      </c>
      <c r="R48" s="78">
        <v>59172.304976000058</v>
      </c>
      <c r="S48" s="101">
        <v>67.938311672032341</v>
      </c>
      <c r="T48" s="99">
        <v>32</v>
      </c>
      <c r="U48" s="102">
        <f t="shared" si="34"/>
        <v>10.19108280254777</v>
      </c>
      <c r="V48" s="99">
        <f t="shared" si="23"/>
        <v>42.073923323295631</v>
      </c>
      <c r="W48" s="99">
        <f t="shared" si="24"/>
        <v>2489611.0224228911</v>
      </c>
      <c r="X48" s="99">
        <f t="shared" si="13"/>
        <v>2489.611022422891</v>
      </c>
      <c r="Y48" s="100">
        <f t="shared" si="14"/>
        <v>3.1759293563246476</v>
      </c>
      <c r="Z48" s="100">
        <f t="shared" si="25"/>
        <v>0.95277880689739425</v>
      </c>
      <c r="AA48" s="100">
        <f t="shared" si="26"/>
        <v>2.0643540816110209</v>
      </c>
      <c r="AB48" s="101">
        <f t="shared" si="35"/>
        <v>5934.1123524960822</v>
      </c>
      <c r="AD48" s="41">
        <v>2021</v>
      </c>
      <c r="AE48" s="60">
        <v>78.542647086435849</v>
      </c>
      <c r="AF48" s="99">
        <v>5378.5664239999978</v>
      </c>
      <c r="AG48" s="101">
        <v>61.631609847231374</v>
      </c>
      <c r="AH48" s="99">
        <v>32</v>
      </c>
      <c r="AI48" s="102">
        <f t="shared" si="36"/>
        <v>10.19108280254777</v>
      </c>
      <c r="AJ48" s="99">
        <f t="shared" si="27"/>
        <v>42.073923323295631</v>
      </c>
      <c r="AK48" s="99">
        <f t="shared" si="28"/>
        <v>226297.39131262829</v>
      </c>
      <c r="AL48" s="99">
        <f t="shared" si="29"/>
        <v>226.29739131262829</v>
      </c>
      <c r="AM48" s="100">
        <f t="shared" si="30"/>
        <v>2.8812040300040942</v>
      </c>
      <c r="AN48" s="100">
        <f t="shared" si="31"/>
        <v>0.86436120900122826</v>
      </c>
      <c r="AO48" s="100">
        <f t="shared" si="32"/>
        <v>1.8727826195026611</v>
      </c>
      <c r="AP48" s="101">
        <f t="shared" si="37"/>
        <v>539.39114706321516</v>
      </c>
      <c r="AR48" s="17"/>
    </row>
    <row r="49" spans="1:44">
      <c r="A49" s="24"/>
      <c r="B49" s="41">
        <v>2022</v>
      </c>
      <c r="C49" s="60">
        <f t="shared" si="15"/>
        <v>3870</v>
      </c>
      <c r="D49" s="99">
        <v>316180.29976801126</v>
      </c>
      <c r="E49" s="99">
        <v>73.523215515437968</v>
      </c>
      <c r="F49" s="99">
        <v>40</v>
      </c>
      <c r="G49" s="102">
        <f t="shared" si="33"/>
        <v>12.738853503184712</v>
      </c>
      <c r="H49" s="99">
        <f t="shared" si="16"/>
        <v>49.779509210951041</v>
      </c>
      <c r="I49" s="99">
        <f t="shared" si="17"/>
        <v>15739300.144622978</v>
      </c>
      <c r="J49" s="99">
        <f t="shared" si="18"/>
        <v>15739.300144622977</v>
      </c>
      <c r="K49" s="100">
        <f t="shared" si="19"/>
        <v>4.0670026213496069</v>
      </c>
      <c r="L49" s="100">
        <f t="shared" si="20"/>
        <v>1.2201007864048821</v>
      </c>
      <c r="M49" s="100">
        <f t="shared" si="21"/>
        <v>2.6435517038772445</v>
      </c>
      <c r="N49" s="101">
        <f t="shared" si="38"/>
        <v>37515.408859716095</v>
      </c>
      <c r="P49" s="41">
        <v>2022</v>
      </c>
      <c r="Q49" s="60">
        <f t="shared" si="22"/>
        <v>783.9</v>
      </c>
      <c r="R49" s="78">
        <v>59172.304976000058</v>
      </c>
      <c r="S49" s="101">
        <v>67.938311672032341</v>
      </c>
      <c r="T49" s="99">
        <v>40</v>
      </c>
      <c r="U49" s="102">
        <f t="shared" si="34"/>
        <v>12.738853503184712</v>
      </c>
      <c r="V49" s="99">
        <f t="shared" si="23"/>
        <v>73.993802160612972</v>
      </c>
      <c r="W49" s="99">
        <f t="shared" si="24"/>
        <v>4378383.8277816027</v>
      </c>
      <c r="X49" s="99">
        <f t="shared" si="13"/>
        <v>4378.383827781603</v>
      </c>
      <c r="Y49" s="100">
        <f t="shared" si="14"/>
        <v>5.5853856713631878</v>
      </c>
      <c r="Z49" s="100">
        <f t="shared" si="25"/>
        <v>1.6756157014089563</v>
      </c>
      <c r="AA49" s="100">
        <f t="shared" si="26"/>
        <v>3.630500686386072</v>
      </c>
      <c r="AB49" s="101">
        <f t="shared" si="35"/>
        <v>10436.096772708839</v>
      </c>
      <c r="AD49" s="41">
        <v>2022</v>
      </c>
      <c r="AE49" s="60">
        <v>78.542647086435849</v>
      </c>
      <c r="AF49" s="99">
        <v>5378.5664239999978</v>
      </c>
      <c r="AG49" s="101">
        <v>61.631609847231374</v>
      </c>
      <c r="AH49" s="99">
        <v>40</v>
      </c>
      <c r="AI49" s="102">
        <f t="shared" si="36"/>
        <v>12.738853503184712</v>
      </c>
      <c r="AJ49" s="99">
        <f t="shared" si="27"/>
        <v>73.993802160612972</v>
      </c>
      <c r="AK49" s="99">
        <f t="shared" si="28"/>
        <v>397980.57988517144</v>
      </c>
      <c r="AL49" s="99">
        <f t="shared" si="29"/>
        <v>397.98057988517144</v>
      </c>
      <c r="AM49" s="100">
        <f t="shared" si="30"/>
        <v>5.0670634954179157</v>
      </c>
      <c r="AN49" s="100">
        <f t="shared" si="31"/>
        <v>1.5201190486253746</v>
      </c>
      <c r="AO49" s="100">
        <f t="shared" si="32"/>
        <v>3.2935912720216454</v>
      </c>
      <c r="AP49" s="101">
        <f t="shared" si="37"/>
        <v>948.60661118530038</v>
      </c>
      <c r="AR49" s="17"/>
    </row>
    <row r="50" spans="1:44">
      <c r="A50" s="1"/>
      <c r="B50" s="41">
        <v>2023</v>
      </c>
      <c r="C50" s="61">
        <v>4300</v>
      </c>
      <c r="D50" s="99">
        <v>316180.29976801126</v>
      </c>
      <c r="E50" s="99">
        <v>73.523215515437968</v>
      </c>
      <c r="F50" s="99">
        <f>F49+0.5</f>
        <v>40.5</v>
      </c>
      <c r="G50" s="102">
        <f t="shared" si="33"/>
        <v>12.898089171974522</v>
      </c>
      <c r="H50" s="99">
        <f t="shared" si="16"/>
        <v>51.235040571707493</v>
      </c>
      <c r="I50" s="99">
        <f t="shared" si="17"/>
        <v>16199510.486588694</v>
      </c>
      <c r="J50" s="99">
        <f t="shared" si="18"/>
        <v>16199.510486588693</v>
      </c>
      <c r="K50" s="100">
        <f t="shared" si="19"/>
        <v>3.7673280201369055</v>
      </c>
      <c r="L50" s="100">
        <f t="shared" si="20"/>
        <v>1.1301984060410717</v>
      </c>
      <c r="M50" s="100">
        <f t="shared" si="21"/>
        <v>2.4487632130889887</v>
      </c>
      <c r="N50" s="101">
        <f t="shared" si="38"/>
        <v>38612.343220308481</v>
      </c>
      <c r="P50" s="41">
        <v>2023</v>
      </c>
      <c r="Q50" s="61">
        <v>870.97108420430584</v>
      </c>
      <c r="R50" s="78">
        <v>59172.304976000058</v>
      </c>
      <c r="S50" s="101">
        <v>67.938311672032341</v>
      </c>
      <c r="T50" s="99">
        <f>T49+0.5</f>
        <v>40.5</v>
      </c>
      <c r="U50" s="102">
        <f t="shared" si="34"/>
        <v>12.898089171974522</v>
      </c>
      <c r="V50" s="99">
        <f t="shared" si="23"/>
        <v>76.356282263299121</v>
      </c>
      <c r="W50" s="99">
        <f t="shared" si="24"/>
        <v>4518177.2209174791</v>
      </c>
      <c r="X50" s="99">
        <f t="shared" si="13"/>
        <v>4518.1772209174787</v>
      </c>
      <c r="Y50" s="100">
        <f t="shared" si="14"/>
        <v>5.1875169025216898</v>
      </c>
      <c r="Z50" s="100">
        <f t="shared" si="25"/>
        <v>1.5562550707565068</v>
      </c>
      <c r="AA50" s="100">
        <f t="shared" si="26"/>
        <v>3.3718859866390982</v>
      </c>
      <c r="AB50" s="101">
        <f t="shared" si="35"/>
        <v>10769.301314917855</v>
      </c>
      <c r="AD50" s="41">
        <v>2023</v>
      </c>
      <c r="AE50" s="60">
        <v>87.269607873817606</v>
      </c>
      <c r="AF50" s="99">
        <v>5378.5664239999978</v>
      </c>
      <c r="AG50" s="101">
        <v>61.631609847231374</v>
      </c>
      <c r="AH50" s="99">
        <f>AH49+0.5</f>
        <v>40.5</v>
      </c>
      <c r="AI50" s="102">
        <f t="shared" si="36"/>
        <v>12.898089171974522</v>
      </c>
      <c r="AJ50" s="99">
        <f t="shared" si="27"/>
        <v>76.356282263299121</v>
      </c>
      <c r="AK50" s="99">
        <f t="shared" si="28"/>
        <v>410687.33604284719</v>
      </c>
      <c r="AL50" s="99">
        <f t="shared" si="29"/>
        <v>410.68733604284722</v>
      </c>
      <c r="AM50" s="100">
        <f t="shared" si="30"/>
        <v>4.7059605978367243</v>
      </c>
      <c r="AN50" s="100">
        <f t="shared" si="31"/>
        <v>1.4117881793510172</v>
      </c>
      <c r="AO50" s="100">
        <f t="shared" si="32"/>
        <v>3.0588743885938707</v>
      </c>
      <c r="AP50" s="101">
        <f t="shared" si="37"/>
        <v>978.89379982492835</v>
      </c>
      <c r="AR50" s="17"/>
    </row>
    <row r="51" spans="1:44">
      <c r="A51" s="1"/>
      <c r="B51" s="41">
        <v>2024</v>
      </c>
      <c r="C51" s="61">
        <v>4300</v>
      </c>
      <c r="D51" s="99">
        <v>316180.29976801126</v>
      </c>
      <c r="E51" s="99">
        <v>73.523215515437968</v>
      </c>
      <c r="F51" s="99">
        <f t="shared" ref="F51:F74" si="39">F50+0.5</f>
        <v>41</v>
      </c>
      <c r="G51" s="102">
        <f t="shared" si="33"/>
        <v>13.057324840764331</v>
      </c>
      <c r="H51" s="99">
        <f t="shared" si="16"/>
        <v>52.714486237385287</v>
      </c>
      <c r="I51" s="99">
        <f t="shared" si="17"/>
        <v>16667282.060653184</v>
      </c>
      <c r="J51" s="99">
        <f t="shared" si="18"/>
        <v>16667.282060653182</v>
      </c>
      <c r="K51" s="100">
        <f t="shared" si="19"/>
        <v>3.8761121071286468</v>
      </c>
      <c r="L51" s="100">
        <f t="shared" si="20"/>
        <v>1.1628336321385939</v>
      </c>
      <c r="M51" s="100">
        <f t="shared" si="21"/>
        <v>2.5194728696336206</v>
      </c>
      <c r="N51" s="101">
        <f t="shared" si="38"/>
        <v>39727.300155669895</v>
      </c>
      <c r="P51" s="41">
        <v>2024</v>
      </c>
      <c r="Q51" s="61">
        <v>870.97108420430584</v>
      </c>
      <c r="R51" s="78">
        <v>59172.304976000058</v>
      </c>
      <c r="S51" s="101">
        <v>67.938311672032341</v>
      </c>
      <c r="T51" s="99">
        <f t="shared" ref="T51:T71" si="40">T50+0.5</f>
        <v>41</v>
      </c>
      <c r="U51" s="102">
        <f t="shared" si="34"/>
        <v>13.057324840764331</v>
      </c>
      <c r="V51" s="99">
        <f t="shared" si="23"/>
        <v>78.763811382575753</v>
      </c>
      <c r="W51" s="99">
        <f t="shared" si="24"/>
        <v>4660636.2682019174</v>
      </c>
      <c r="X51" s="99">
        <f t="shared" si="13"/>
        <v>4660.6362682019171</v>
      </c>
      <c r="Y51" s="100">
        <f t="shared" si="14"/>
        <v>5.3510803661866007</v>
      </c>
      <c r="Z51" s="100">
        <f t="shared" si="25"/>
        <v>1.6053241098559801</v>
      </c>
      <c r="AA51" s="100">
        <f t="shared" si="26"/>
        <v>3.4782022380212902</v>
      </c>
      <c r="AB51" s="101">
        <f t="shared" si="35"/>
        <v>11108.859577072679</v>
      </c>
      <c r="AD51" s="41">
        <v>2024</v>
      </c>
      <c r="AE51" s="60">
        <v>87.269607873817606</v>
      </c>
      <c r="AF51" s="99">
        <v>5378.5664239999978</v>
      </c>
      <c r="AG51" s="101">
        <v>61.631609847231374</v>
      </c>
      <c r="AH51" s="99">
        <f t="shared" ref="AH51:AH71" si="41">AH50+0.5</f>
        <v>41</v>
      </c>
      <c r="AI51" s="102">
        <f t="shared" si="36"/>
        <v>13.057324840764331</v>
      </c>
      <c r="AJ51" s="99">
        <f t="shared" si="27"/>
        <v>78.763811382575753</v>
      </c>
      <c r="AK51" s="99">
        <f t="shared" si="28"/>
        <v>423636.39132859081</v>
      </c>
      <c r="AL51" s="99">
        <f t="shared" si="29"/>
        <v>423.63639132859083</v>
      </c>
      <c r="AM51" s="100">
        <f t="shared" si="30"/>
        <v>4.854340493211831</v>
      </c>
      <c r="AN51" s="100">
        <f t="shared" si="31"/>
        <v>1.4563021479635492</v>
      </c>
      <c r="AO51" s="100">
        <f t="shared" si="32"/>
        <v>3.15532132058769</v>
      </c>
      <c r="AP51" s="101">
        <f t="shared" si="37"/>
        <v>1009.7585205512626</v>
      </c>
      <c r="AR51" s="17"/>
    </row>
    <row r="52" spans="1:44">
      <c r="A52" s="1"/>
      <c r="B52" s="41">
        <v>2025</v>
      </c>
      <c r="C52" s="61">
        <v>4300</v>
      </c>
      <c r="D52" s="99">
        <v>316180.29976801126</v>
      </c>
      <c r="E52" s="99">
        <v>73.523215515437968</v>
      </c>
      <c r="F52" s="99">
        <f t="shared" si="39"/>
        <v>41.5</v>
      </c>
      <c r="G52" s="102">
        <f t="shared" si="33"/>
        <v>13.216560509554139</v>
      </c>
      <c r="H52" s="99">
        <f t="shared" si="16"/>
        <v>54.217940292011768</v>
      </c>
      <c r="I52" s="99">
        <f t="shared" si="17"/>
        <v>17142644.614332415</v>
      </c>
      <c r="J52" s="99">
        <f t="shared" si="18"/>
        <v>17142.644614332414</v>
      </c>
      <c r="K52" s="100">
        <f t="shared" si="19"/>
        <v>3.9866615382168402</v>
      </c>
      <c r="L52" s="100">
        <f t="shared" si="20"/>
        <v>1.1959984614650521</v>
      </c>
      <c r="M52" s="100">
        <f t="shared" si="21"/>
        <v>2.591329999840946</v>
      </c>
      <c r="N52" s="101">
        <f t="shared" si="38"/>
        <v>40860.350570492017</v>
      </c>
      <c r="P52" s="41">
        <v>2025</v>
      </c>
      <c r="Q52" s="61">
        <v>870.97108420430584</v>
      </c>
      <c r="R52" s="78">
        <v>59172.304976000058</v>
      </c>
      <c r="S52" s="101">
        <v>67.938311672032341</v>
      </c>
      <c r="T52" s="99">
        <f t="shared" si="40"/>
        <v>41.5</v>
      </c>
      <c r="U52" s="102">
        <f t="shared" si="34"/>
        <v>13.216560509554139</v>
      </c>
      <c r="V52" s="99">
        <f t="shared" si="23"/>
        <v>81.216683437042335</v>
      </c>
      <c r="W52" s="99">
        <f t="shared" si="24"/>
        <v>4805778.3614759212</v>
      </c>
      <c r="X52" s="99">
        <f t="shared" si="13"/>
        <v>4805.778361475921</v>
      </c>
      <c r="Y52" s="100">
        <f t="shared" si="14"/>
        <v>5.5177243523145689</v>
      </c>
      <c r="Z52" s="100">
        <f t="shared" si="25"/>
        <v>1.6553173056943706</v>
      </c>
      <c r="AA52" s="100">
        <f t="shared" si="26"/>
        <v>3.5865208290044697</v>
      </c>
      <c r="AB52" s="101">
        <f t="shared" si="35"/>
        <v>11454.813013495932</v>
      </c>
      <c r="AD52" s="41">
        <v>2025</v>
      </c>
      <c r="AE52" s="60">
        <v>87.269607873817606</v>
      </c>
      <c r="AF52" s="99">
        <v>5378.5664239999978</v>
      </c>
      <c r="AG52" s="101">
        <v>61.631609847231374</v>
      </c>
      <c r="AH52" s="99">
        <f t="shared" si="41"/>
        <v>41.5</v>
      </c>
      <c r="AI52" s="102">
        <f t="shared" si="36"/>
        <v>13.216560509554139</v>
      </c>
      <c r="AJ52" s="99">
        <f t="shared" si="27"/>
        <v>81.216683437042335</v>
      </c>
      <c r="AK52" s="99">
        <f t="shared" si="28"/>
        <v>436829.32660311263</v>
      </c>
      <c r="AL52" s="99">
        <f t="shared" si="29"/>
        <v>436.82932660311263</v>
      </c>
      <c r="AM52" s="100">
        <f t="shared" si="30"/>
        <v>5.0055149466778914</v>
      </c>
      <c r="AN52" s="100">
        <f t="shared" si="31"/>
        <v>1.5016544840033674</v>
      </c>
      <c r="AO52" s="100">
        <f t="shared" si="32"/>
        <v>3.2535847153406294</v>
      </c>
      <c r="AP52" s="101">
        <f t="shared" si="37"/>
        <v>1041.2045414248491</v>
      </c>
      <c r="AR52" s="17"/>
    </row>
    <row r="53" spans="1:44">
      <c r="A53" s="1"/>
      <c r="B53" s="41">
        <v>2026</v>
      </c>
      <c r="C53" s="61">
        <v>4300</v>
      </c>
      <c r="D53" s="99">
        <v>316180.29976801126</v>
      </c>
      <c r="E53" s="99">
        <v>73.523215515437968</v>
      </c>
      <c r="F53" s="99">
        <f t="shared" si="39"/>
        <v>42</v>
      </c>
      <c r="G53" s="102">
        <f t="shared" si="33"/>
        <v>13.375796178343949</v>
      </c>
      <c r="H53" s="99">
        <f t="shared" si="16"/>
        <v>55.745496042573087</v>
      </c>
      <c r="I53" s="99">
        <f t="shared" si="17"/>
        <v>17625627.649457242</v>
      </c>
      <c r="J53" s="99">
        <f t="shared" si="18"/>
        <v>17625.627649457241</v>
      </c>
      <c r="K53" s="100">
        <f t="shared" si="19"/>
        <v>4.0989831742923819</v>
      </c>
      <c r="L53" s="100">
        <f t="shared" si="20"/>
        <v>1.2296949522877145</v>
      </c>
      <c r="M53" s="100">
        <f t="shared" si="21"/>
        <v>2.6643390632900483</v>
      </c>
      <c r="N53" s="101">
        <f t="shared" si="38"/>
        <v>42011.564783863811</v>
      </c>
      <c r="P53" s="41">
        <v>2026</v>
      </c>
      <c r="Q53" s="61">
        <v>870.97108420430584</v>
      </c>
      <c r="R53" s="78">
        <v>59172.304976000058</v>
      </c>
      <c r="S53" s="101">
        <v>67.938311672032341</v>
      </c>
      <c r="T53" s="99">
        <f t="shared" si="40"/>
        <v>42</v>
      </c>
      <c r="U53" s="102">
        <f t="shared" si="34"/>
        <v>13.375796178343949</v>
      </c>
      <c r="V53" s="99">
        <f t="shared" si="23"/>
        <v>83.715190665349212</v>
      </c>
      <c r="W53" s="99">
        <f t="shared" si="24"/>
        <v>4953620.7931740368</v>
      </c>
      <c r="X53" s="99">
        <f t="shared" si="13"/>
        <v>4953.6207931740364</v>
      </c>
      <c r="Y53" s="100">
        <f t="shared" si="14"/>
        <v>5.6874687151061067</v>
      </c>
      <c r="Z53" s="100">
        <f t="shared" si="25"/>
        <v>1.7062406145318321</v>
      </c>
      <c r="AA53" s="100">
        <f t="shared" si="26"/>
        <v>3.6968546648189693</v>
      </c>
      <c r="AB53" s="101">
        <f t="shared" si="35"/>
        <v>11807.202841569973</v>
      </c>
      <c r="AD53" s="41">
        <v>2026</v>
      </c>
      <c r="AE53" s="60">
        <v>87.269607873817606</v>
      </c>
      <c r="AF53" s="99">
        <v>5378.5664239999978</v>
      </c>
      <c r="AG53" s="101">
        <v>61.631609847231374</v>
      </c>
      <c r="AH53" s="99">
        <f t="shared" si="41"/>
        <v>42</v>
      </c>
      <c r="AI53" s="102">
        <f t="shared" si="36"/>
        <v>13.375796178343949</v>
      </c>
      <c r="AJ53" s="99">
        <f t="shared" si="27"/>
        <v>83.715190665349212</v>
      </c>
      <c r="AK53" s="99">
        <f t="shared" si="28"/>
        <v>450267.71369140531</v>
      </c>
      <c r="AL53" s="99">
        <f t="shared" si="29"/>
        <v>450.26771369140533</v>
      </c>
      <c r="AM53" s="100">
        <f t="shared" si="30"/>
        <v>5.1595019693733892</v>
      </c>
      <c r="AN53" s="100">
        <f t="shared" si="31"/>
        <v>1.5478505908120168</v>
      </c>
      <c r="AO53" s="100">
        <f t="shared" si="32"/>
        <v>3.3536762800927029</v>
      </c>
      <c r="AP53" s="101">
        <f t="shared" si="37"/>
        <v>1073.2356089691491</v>
      </c>
      <c r="AR53" s="17"/>
    </row>
    <row r="54" spans="1:44">
      <c r="A54" s="1"/>
      <c r="B54" s="41">
        <v>2027</v>
      </c>
      <c r="C54" s="61">
        <v>4300</v>
      </c>
      <c r="D54" s="99">
        <v>316180.29976801126</v>
      </c>
      <c r="E54" s="99">
        <v>73.523215515437968</v>
      </c>
      <c r="F54" s="99">
        <f>F53+0.5</f>
        <v>42.5</v>
      </c>
      <c r="G54" s="102">
        <f t="shared" si="33"/>
        <v>13.535031847133757</v>
      </c>
      <c r="H54" s="99">
        <f t="shared" si="16"/>
        <v>57.297246034680306</v>
      </c>
      <c r="I54" s="99">
        <f t="shared" si="17"/>
        <v>18116260.427126713</v>
      </c>
      <c r="J54" s="99">
        <f t="shared" si="18"/>
        <v>18116.260427126712</v>
      </c>
      <c r="K54" s="100">
        <f t="shared" si="19"/>
        <v>4.2130838202620264</v>
      </c>
      <c r="L54" s="100">
        <f t="shared" si="20"/>
        <v>1.2639251460786078</v>
      </c>
      <c r="M54" s="100">
        <f t="shared" si="21"/>
        <v>2.7385044831703169</v>
      </c>
      <c r="N54" s="101">
        <f t="shared" si="38"/>
        <v>43181.012541077871</v>
      </c>
      <c r="P54" s="41">
        <v>2027</v>
      </c>
      <c r="Q54" s="61">
        <v>870.97108420430584</v>
      </c>
      <c r="R54" s="78">
        <v>59172.304976000058</v>
      </c>
      <c r="S54" s="101">
        <v>67.938311672032341</v>
      </c>
      <c r="T54" s="99">
        <f t="shared" si="40"/>
        <v>42.5</v>
      </c>
      <c r="U54" s="102">
        <f t="shared" si="34"/>
        <v>13.535031847133757</v>
      </c>
      <c r="V54" s="99">
        <f t="shared" si="23"/>
        <v>86.25962365587074</v>
      </c>
      <c r="W54" s="99">
        <f t="shared" si="24"/>
        <v>5104180.7580801724</v>
      </c>
      <c r="X54" s="99">
        <f t="shared" si="13"/>
        <v>5104.1807580801724</v>
      </c>
      <c r="Y54" s="100">
        <f t="shared" si="14"/>
        <v>5.8603331966447607</v>
      </c>
      <c r="Z54" s="100">
        <f t="shared" si="25"/>
        <v>1.7580999589934281</v>
      </c>
      <c r="AA54" s="100">
        <f t="shared" si="26"/>
        <v>3.8092165778190945</v>
      </c>
      <c r="AB54" s="101">
        <f t="shared" si="35"/>
        <v>12166.070045921995</v>
      </c>
      <c r="AD54" s="41">
        <v>2027</v>
      </c>
      <c r="AE54" s="60">
        <v>87.269607873817606</v>
      </c>
      <c r="AF54" s="99">
        <v>5378.5664239999978</v>
      </c>
      <c r="AG54" s="101">
        <v>61.631609847231374</v>
      </c>
      <c r="AH54" s="99">
        <f t="shared" si="41"/>
        <v>42.5</v>
      </c>
      <c r="AI54" s="102">
        <f t="shared" si="36"/>
        <v>13.535031847133757</v>
      </c>
      <c r="AJ54" s="99">
        <f t="shared" si="27"/>
        <v>86.25962365587074</v>
      </c>
      <c r="AK54" s="99">
        <f t="shared" si="28"/>
        <v>463953.1155423423</v>
      </c>
      <c r="AL54" s="99">
        <f t="shared" si="29"/>
        <v>463.95311554234229</v>
      </c>
      <c r="AM54" s="100">
        <f t="shared" si="30"/>
        <v>5.3163194707276356</v>
      </c>
      <c r="AN54" s="100">
        <f t="shared" si="31"/>
        <v>1.5948958412182905</v>
      </c>
      <c r="AO54" s="100">
        <f t="shared" si="32"/>
        <v>3.4556076559729632</v>
      </c>
      <c r="AP54" s="101">
        <f t="shared" si="37"/>
        <v>1105.8554485509499</v>
      </c>
      <c r="AR54" s="17"/>
    </row>
    <row r="55" spans="1:44">
      <c r="B55" s="41">
        <v>2028</v>
      </c>
      <c r="C55" s="61">
        <v>4300</v>
      </c>
      <c r="D55" s="99">
        <v>316180.29976801126</v>
      </c>
      <c r="E55" s="99">
        <v>73.523215515437968</v>
      </c>
      <c r="F55" s="99">
        <f t="shared" si="39"/>
        <v>43</v>
      </c>
      <c r="G55" s="102">
        <f t="shared" si="33"/>
        <v>13.694267515923567</v>
      </c>
      <c r="H55" s="99">
        <f t="shared" si="16"/>
        <v>58.873282067737037</v>
      </c>
      <c r="I55" s="99">
        <f t="shared" si="17"/>
        <v>18614571.972503778</v>
      </c>
      <c r="J55" s="99">
        <f t="shared" si="18"/>
        <v>18614.571972503778</v>
      </c>
      <c r="K55" s="100">
        <f t="shared" si="19"/>
        <v>4.3289702261636691</v>
      </c>
      <c r="L55" s="100">
        <f t="shared" si="20"/>
        <v>1.2986910678491006</v>
      </c>
      <c r="M55" s="100">
        <f t="shared" si="21"/>
        <v>2.8138306470063847</v>
      </c>
      <c r="N55" s="101">
        <f t="shared" si="38"/>
        <v>44368.763025061373</v>
      </c>
      <c r="P55" s="41">
        <v>2028</v>
      </c>
      <c r="Q55" s="61">
        <v>870.97108420430584</v>
      </c>
      <c r="R55" s="78">
        <v>59172.304976000058</v>
      </c>
      <c r="S55" s="101">
        <v>67.938311672032341</v>
      </c>
      <c r="T55" s="99">
        <f t="shared" si="40"/>
        <v>43</v>
      </c>
      <c r="U55" s="102">
        <f t="shared" si="34"/>
        <v>13.694267515923567</v>
      </c>
      <c r="V55" s="99">
        <f t="shared" si="23"/>
        <v>88.850271375506352</v>
      </c>
      <c r="W55" s="99">
        <f t="shared" si="24"/>
        <v>5257475.3550318303</v>
      </c>
      <c r="X55" s="99">
        <f t="shared" si="13"/>
        <v>5257.4753550318301</v>
      </c>
      <c r="Y55" s="100">
        <f t="shared" si="14"/>
        <v>6.0363374288538045</v>
      </c>
      <c r="Z55" s="100">
        <f t="shared" si="25"/>
        <v>1.8109012286561412</v>
      </c>
      <c r="AA55" s="100">
        <f t="shared" si="26"/>
        <v>3.923619328754973</v>
      </c>
      <c r="AB55" s="101">
        <f t="shared" si="35"/>
        <v>12531.455382486118</v>
      </c>
      <c r="AD55" s="41">
        <v>2028</v>
      </c>
      <c r="AE55" s="60">
        <v>87.269607873817606</v>
      </c>
      <c r="AF55" s="99">
        <v>5378.5664239999978</v>
      </c>
      <c r="AG55" s="101">
        <v>61.631609847231374</v>
      </c>
      <c r="AH55" s="99">
        <f t="shared" si="41"/>
        <v>43</v>
      </c>
      <c r="AI55" s="102">
        <f t="shared" si="36"/>
        <v>13.694267515923567</v>
      </c>
      <c r="AJ55" s="99">
        <f t="shared" si="27"/>
        <v>88.850271375506352</v>
      </c>
      <c r="AK55" s="99">
        <f t="shared" si="28"/>
        <v>477887.08638358657</v>
      </c>
      <c r="AL55" s="99">
        <f t="shared" si="29"/>
        <v>477.88708638358656</v>
      </c>
      <c r="AM55" s="100">
        <f t="shared" si="30"/>
        <v>5.475985260235837</v>
      </c>
      <c r="AN55" s="100">
        <f t="shared" si="31"/>
        <v>1.6427955780707511</v>
      </c>
      <c r="AO55" s="100">
        <f t="shared" si="32"/>
        <v>3.5593904191532939</v>
      </c>
      <c r="AP55" s="101">
        <f t="shared" si="37"/>
        <v>1139.0677647495975</v>
      </c>
      <c r="AR55" s="17"/>
    </row>
    <row r="56" spans="1:44">
      <c r="B56" s="41">
        <v>2029</v>
      </c>
      <c r="C56" s="61">
        <v>4300</v>
      </c>
      <c r="D56" s="99">
        <v>316180.29976801126</v>
      </c>
      <c r="E56" s="99">
        <v>73.523215515437968</v>
      </c>
      <c r="F56" s="99">
        <f t="shared" si="39"/>
        <v>43.5</v>
      </c>
      <c r="G56" s="102">
        <f t="shared" si="33"/>
        <v>13.853503184713375</v>
      </c>
      <c r="H56" s="99">
        <f t="shared" si="16"/>
        <v>60.473695209630378</v>
      </c>
      <c r="I56" s="99">
        <f t="shared" si="17"/>
        <v>19120591.079460278</v>
      </c>
      <c r="J56" s="99">
        <f t="shared" si="18"/>
        <v>19120.591079460279</v>
      </c>
      <c r="K56" s="100">
        <f t="shared" si="19"/>
        <v>4.4466490882465761</v>
      </c>
      <c r="L56" s="100">
        <f t="shared" si="20"/>
        <v>1.3339947264739729</v>
      </c>
      <c r="M56" s="100">
        <f t="shared" si="21"/>
        <v>2.8903219073602746</v>
      </c>
      <c r="N56" s="101">
        <f t="shared" si="38"/>
        <v>45574.884867447545</v>
      </c>
      <c r="P56" s="41">
        <v>2029</v>
      </c>
      <c r="Q56" s="61">
        <v>870.97108420430584</v>
      </c>
      <c r="R56" s="78">
        <v>59172.304976000058</v>
      </c>
      <c r="S56" s="101">
        <v>67.938311672032341</v>
      </c>
      <c r="T56" s="99">
        <f t="shared" si="40"/>
        <v>43.5</v>
      </c>
      <c r="U56" s="102">
        <f t="shared" si="34"/>
        <v>13.853503184713375</v>
      </c>
      <c r="V56" s="99">
        <f t="shared" si="23"/>
        <v>91.487421197649027</v>
      </c>
      <c r="W56" s="99">
        <f t="shared" si="24"/>
        <v>5413521.5885750605</v>
      </c>
      <c r="X56" s="99">
        <f t="shared" si="13"/>
        <v>5413.5215885750604</v>
      </c>
      <c r="Y56" s="100">
        <f t="shared" si="14"/>
        <v>6.2155009353963777</v>
      </c>
      <c r="Z56" s="100">
        <f t="shared" si="25"/>
        <v>1.8646502806189131</v>
      </c>
      <c r="AA56" s="100">
        <f t="shared" si="26"/>
        <v>4.0400756080076459</v>
      </c>
      <c r="AB56" s="101">
        <f t="shared" si="35"/>
        <v>12903.399382448086</v>
      </c>
      <c r="AD56" s="41">
        <v>2029</v>
      </c>
      <c r="AE56" s="60">
        <v>87.269607873817606</v>
      </c>
      <c r="AF56" s="99">
        <v>5378.5664239999978</v>
      </c>
      <c r="AG56" s="101">
        <v>61.631609847231374</v>
      </c>
      <c r="AH56" s="99">
        <f t="shared" si="41"/>
        <v>43.5</v>
      </c>
      <c r="AI56" s="102">
        <f t="shared" si="36"/>
        <v>13.853503184713375</v>
      </c>
      <c r="AJ56" s="99">
        <f t="shared" si="27"/>
        <v>91.487421197649027</v>
      </c>
      <c r="AK56" s="99">
        <f t="shared" si="28"/>
        <v>492071.1718720207</v>
      </c>
      <c r="AL56" s="99">
        <f t="shared" si="29"/>
        <v>492.07117187202073</v>
      </c>
      <c r="AM56" s="100">
        <f t="shared" si="30"/>
        <v>5.6385170491828305</v>
      </c>
      <c r="AN56" s="100">
        <f t="shared" si="31"/>
        <v>1.6915551147548491</v>
      </c>
      <c r="AO56" s="100">
        <f t="shared" si="32"/>
        <v>3.6650360819688399</v>
      </c>
      <c r="AP56" s="101">
        <f t="shared" si="37"/>
        <v>1172.8762417155551</v>
      </c>
      <c r="AR56" s="17"/>
    </row>
    <row r="57" spans="1:44">
      <c r="B57" s="41">
        <v>2030</v>
      </c>
      <c r="C57" s="61">
        <v>4300</v>
      </c>
      <c r="D57" s="99">
        <v>316180.29976801126</v>
      </c>
      <c r="E57" s="99">
        <v>73.523215515437968</v>
      </c>
      <c r="F57" s="99">
        <f t="shared" si="39"/>
        <v>44</v>
      </c>
      <c r="G57" s="102">
        <f t="shared" si="33"/>
        <v>14.012738853503183</v>
      </c>
      <c r="H57" s="99">
        <f t="shared" si="16"/>
        <v>62.098575810966587</v>
      </c>
      <c r="I57" s="99">
        <f t="shared" si="17"/>
        <v>19634346.315077987</v>
      </c>
      <c r="J57" s="99">
        <f t="shared" si="18"/>
        <v>19634.346315077986</v>
      </c>
      <c r="K57" s="100">
        <f t="shared" si="19"/>
        <v>4.5661270500181361</v>
      </c>
      <c r="L57" s="100">
        <f t="shared" si="20"/>
        <v>1.3698381150054408</v>
      </c>
      <c r="M57" s="100">
        <f t="shared" si="21"/>
        <v>2.9679825825117883</v>
      </c>
      <c r="N57" s="101">
        <f t="shared" si="38"/>
        <v>46799.446159304127</v>
      </c>
      <c r="P57" s="41">
        <v>2030</v>
      </c>
      <c r="Q57" s="61">
        <v>870.97108420430584</v>
      </c>
      <c r="R57" s="78">
        <v>59172.304976000058</v>
      </c>
      <c r="S57" s="101">
        <v>67.938311672032341</v>
      </c>
      <c r="T57" s="99">
        <f t="shared" si="40"/>
        <v>44</v>
      </c>
      <c r="U57" s="102">
        <f t="shared" si="34"/>
        <v>14.012738853503183</v>
      </c>
      <c r="V57" s="99">
        <f t="shared" si="23"/>
        <v>94.171358929351342</v>
      </c>
      <c r="W57" s="99">
        <f t="shared" si="24"/>
        <v>5572336.3705719439</v>
      </c>
      <c r="X57" s="99">
        <f t="shared" si="13"/>
        <v>5572.3363705719439</v>
      </c>
      <c r="Y57" s="100">
        <f t="shared" si="14"/>
        <v>6.3978431335210981</v>
      </c>
      <c r="Z57" s="100">
        <f t="shared" si="25"/>
        <v>1.9193529400563294</v>
      </c>
      <c r="AA57" s="100">
        <f t="shared" si="26"/>
        <v>4.1585980367887139</v>
      </c>
      <c r="AB57" s="101">
        <f t="shared" si="35"/>
        <v>13281.942356076757</v>
      </c>
      <c r="AD57" s="41">
        <v>2030</v>
      </c>
      <c r="AE57" s="60">
        <v>87.269607873817606</v>
      </c>
      <c r="AF57" s="99">
        <v>5378.5664239999978</v>
      </c>
      <c r="AG57" s="101">
        <v>61.631609847231374</v>
      </c>
      <c r="AH57" s="99">
        <f t="shared" si="41"/>
        <v>44</v>
      </c>
      <c r="AI57" s="102">
        <f t="shared" si="36"/>
        <v>14.012738853503183</v>
      </c>
      <c r="AJ57" s="99">
        <f t="shared" si="27"/>
        <v>94.171358929351342</v>
      </c>
      <c r="AK57" s="99">
        <f t="shared" si="28"/>
        <v>506506.90923986153</v>
      </c>
      <c r="AL57" s="99">
        <f t="shared" si="29"/>
        <v>506.50690923986156</v>
      </c>
      <c r="AM57" s="100">
        <f t="shared" si="30"/>
        <v>5.8039324523173708</v>
      </c>
      <c r="AN57" s="100">
        <f t="shared" si="31"/>
        <v>1.7411797356952112</v>
      </c>
      <c r="AO57" s="100">
        <f t="shared" si="32"/>
        <v>3.772556094006291</v>
      </c>
      <c r="AP57" s="101">
        <f t="shared" si="37"/>
        <v>1207.2845435186719</v>
      </c>
      <c r="AR57" s="17"/>
    </row>
    <row r="58" spans="1:44">
      <c r="B58" s="41">
        <v>2031</v>
      </c>
      <c r="C58" s="61">
        <v>4300</v>
      </c>
      <c r="D58" s="99">
        <v>316180.29976801126</v>
      </c>
      <c r="E58" s="99">
        <v>73.523215515437968</v>
      </c>
      <c r="F58" s="99">
        <f t="shared" si="39"/>
        <v>44.5</v>
      </c>
      <c r="G58" s="102">
        <f t="shared" si="33"/>
        <v>14.171974522292993</v>
      </c>
      <c r="H58" s="99">
        <f t="shared" si="16"/>
        <v>63.748013518869392</v>
      </c>
      <c r="I58" s="99">
        <f t="shared" si="17"/>
        <v>20155866.024011359</v>
      </c>
      <c r="J58" s="99">
        <f t="shared" si="18"/>
        <v>20155.86602401136</v>
      </c>
      <c r="K58" s="100">
        <f t="shared" si="19"/>
        <v>4.6874107032584558</v>
      </c>
      <c r="L58" s="100">
        <f t="shared" si="20"/>
        <v>1.4062232109775368</v>
      </c>
      <c r="M58" s="100">
        <f t="shared" si="21"/>
        <v>3.0468169571179962</v>
      </c>
      <c r="N58" s="101">
        <f t="shared" si="38"/>
        <v>48042.514461532272</v>
      </c>
      <c r="P58" s="41">
        <v>2031</v>
      </c>
      <c r="Q58" s="61">
        <v>870.97108420430584</v>
      </c>
      <c r="R58" s="78">
        <v>59172.304976000058</v>
      </c>
      <c r="S58" s="101">
        <v>67.938311672032341</v>
      </c>
      <c r="T58" s="99">
        <f t="shared" si="40"/>
        <v>44.5</v>
      </c>
      <c r="U58" s="102">
        <f t="shared" si="34"/>
        <v>14.171974522292993</v>
      </c>
      <c r="V58" s="99">
        <f t="shared" si="23"/>
        <v>96.902368837722349</v>
      </c>
      <c r="W58" s="99">
        <f t="shared" si="24"/>
        <v>5733936.5217625508</v>
      </c>
      <c r="X58" s="99">
        <f t="shared" si="13"/>
        <v>5733.9365217625509</v>
      </c>
      <c r="Y58" s="100">
        <f t="shared" si="14"/>
        <v>6.583383335855415</v>
      </c>
      <c r="Z58" s="100">
        <f t="shared" si="25"/>
        <v>1.9750150007566245</v>
      </c>
      <c r="AA58" s="100">
        <f t="shared" si="26"/>
        <v>4.27919916830602</v>
      </c>
      <c r="AB58" s="101">
        <f t="shared" si="35"/>
        <v>13667.124396447127</v>
      </c>
      <c r="AD58" s="41">
        <v>2031</v>
      </c>
      <c r="AE58" s="60">
        <v>87.269607873817606</v>
      </c>
      <c r="AF58" s="99">
        <v>5378.5664239999978</v>
      </c>
      <c r="AG58" s="101">
        <v>61.631609847231374</v>
      </c>
      <c r="AH58" s="99">
        <f t="shared" si="41"/>
        <v>44.5</v>
      </c>
      <c r="AI58" s="102">
        <f t="shared" si="36"/>
        <v>14.171974522292993</v>
      </c>
      <c r="AJ58" s="99">
        <f t="shared" si="27"/>
        <v>96.902368837722349</v>
      </c>
      <c r="AK58" s="99">
        <f t="shared" si="28"/>
        <v>521195.82743663713</v>
      </c>
      <c r="AL58" s="99">
        <f t="shared" si="29"/>
        <v>521.19582743663716</v>
      </c>
      <c r="AM58" s="100">
        <f t="shared" si="30"/>
        <v>5.9722489894790156</v>
      </c>
      <c r="AN58" s="100">
        <f t="shared" si="31"/>
        <v>1.7916746968437047</v>
      </c>
      <c r="AO58" s="100">
        <f t="shared" si="32"/>
        <v>3.8819618431613603</v>
      </c>
      <c r="AP58" s="101">
        <f t="shared" si="37"/>
        <v>1242.2963144865964</v>
      </c>
      <c r="AR58" s="17"/>
    </row>
    <row r="59" spans="1:44">
      <c r="B59" s="41">
        <v>2032</v>
      </c>
      <c r="C59" s="61">
        <v>4300</v>
      </c>
      <c r="D59" s="99">
        <v>316180.29976801126</v>
      </c>
      <c r="E59" s="99">
        <v>73.523215515437968</v>
      </c>
      <c r="F59" s="99">
        <f t="shared" si="39"/>
        <v>45</v>
      </c>
      <c r="G59" s="102">
        <f t="shared" si="33"/>
        <v>14.331210191082802</v>
      </c>
      <c r="H59" s="99">
        <f t="shared" si="16"/>
        <v>65.422097290359645</v>
      </c>
      <c r="I59" s="99">
        <f t="shared" si="17"/>
        <v>20685178.33271791</v>
      </c>
      <c r="J59" s="99">
        <f t="shared" si="18"/>
        <v>20685.178332717911</v>
      </c>
      <c r="K59" s="100">
        <f t="shared" si="19"/>
        <v>4.8105065890041656</v>
      </c>
      <c r="L59" s="100">
        <f t="shared" si="20"/>
        <v>1.4431519767012497</v>
      </c>
      <c r="M59" s="100">
        <f t="shared" si="21"/>
        <v>3.1268292828527078</v>
      </c>
      <c r="N59" s="101">
        <f t="shared" si="38"/>
        <v>49304.156814949776</v>
      </c>
      <c r="P59" s="41">
        <v>2032</v>
      </c>
      <c r="Q59" s="61">
        <v>870.97108420430584</v>
      </c>
      <c r="R59" s="78">
        <v>59172.304976000058</v>
      </c>
      <c r="S59" s="101">
        <v>67.938311672032341</v>
      </c>
      <c r="T59" s="99">
        <f t="shared" si="40"/>
        <v>45</v>
      </c>
      <c r="U59" s="102">
        <f t="shared" si="34"/>
        <v>14.331210191082802</v>
      </c>
      <c r="V59" s="99">
        <f t="shared" si="23"/>
        <v>99.6807336755855</v>
      </c>
      <c r="W59" s="99">
        <f t="shared" si="24"/>
        <v>5898338.7732831845</v>
      </c>
      <c r="X59" s="99">
        <f t="shared" si="13"/>
        <v>5898.3387732831843</v>
      </c>
      <c r="Y59" s="100">
        <f t="shared" si="14"/>
        <v>6.7721407521487782</v>
      </c>
      <c r="Z59" s="100">
        <f t="shared" si="25"/>
        <v>2.0316422256446334</v>
      </c>
      <c r="AA59" s="100">
        <f t="shared" si="26"/>
        <v>4.4018914888967053</v>
      </c>
      <c r="AB59" s="101">
        <f t="shared" si="35"/>
        <v>14058.985383059133</v>
      </c>
      <c r="AD59" s="41">
        <v>2032</v>
      </c>
      <c r="AE59" s="60">
        <v>87.269607873817606</v>
      </c>
      <c r="AF59" s="99">
        <v>5378.5664239999978</v>
      </c>
      <c r="AG59" s="101">
        <v>61.631609847231374</v>
      </c>
      <c r="AH59" s="99">
        <f t="shared" si="41"/>
        <v>45</v>
      </c>
      <c r="AI59" s="102">
        <f t="shared" si="36"/>
        <v>14.331210191082802</v>
      </c>
      <c r="AJ59" s="99">
        <f t="shared" si="27"/>
        <v>99.6807336755855</v>
      </c>
      <c r="AK59" s="99">
        <f t="shared" si="28"/>
        <v>536139.44726719009</v>
      </c>
      <c r="AL59" s="99">
        <f t="shared" si="29"/>
        <v>536.13944726719012</v>
      </c>
      <c r="AM59" s="100">
        <f t="shared" si="30"/>
        <v>6.1434840871794645</v>
      </c>
      <c r="AN59" s="100">
        <f t="shared" si="31"/>
        <v>1.8430452261538393</v>
      </c>
      <c r="AO59" s="100">
        <f t="shared" si="32"/>
        <v>3.9932646566666516</v>
      </c>
      <c r="AP59" s="101">
        <f t="shared" si="37"/>
        <v>1277.9151795337111</v>
      </c>
      <c r="AR59" s="17"/>
    </row>
    <row r="60" spans="1:44">
      <c r="B60" s="41">
        <v>2033</v>
      </c>
      <c r="C60" s="61">
        <v>4300</v>
      </c>
      <c r="D60" s="99">
        <v>316180.29976801126</v>
      </c>
      <c r="E60" s="99">
        <v>73.523215515437968</v>
      </c>
      <c r="F60" s="99">
        <f t="shared" si="39"/>
        <v>45.5</v>
      </c>
      <c r="G60" s="102">
        <f t="shared" si="33"/>
        <v>14.490445859872612</v>
      </c>
      <c r="H60" s="99">
        <f t="shared" si="16"/>
        <v>67.120915405333292</v>
      </c>
      <c r="I60" s="99">
        <f t="shared" si="17"/>
        <v>21222311.153561607</v>
      </c>
      <c r="J60" s="99">
        <f t="shared" si="18"/>
        <v>21222.311153561608</v>
      </c>
      <c r="K60" s="100">
        <f t="shared" si="19"/>
        <v>4.9354211985026994</v>
      </c>
      <c r="L60" s="100">
        <f t="shared" si="20"/>
        <v>1.4806263595508098</v>
      </c>
      <c r="M60" s="100">
        <f t="shared" si="21"/>
        <v>3.2080237790267545</v>
      </c>
      <c r="N60" s="101">
        <f t="shared" si="38"/>
        <v>50584.439750071768</v>
      </c>
      <c r="P60" s="41">
        <v>2033</v>
      </c>
      <c r="Q60" s="61">
        <v>870.97108420430584</v>
      </c>
      <c r="R60" s="78">
        <v>59172.304976000058</v>
      </c>
      <c r="S60" s="101">
        <v>67.938311672032341</v>
      </c>
      <c r="T60" s="99">
        <f t="shared" si="40"/>
        <v>45.5</v>
      </c>
      <c r="U60" s="102">
        <f t="shared" si="34"/>
        <v>14.490445859872612</v>
      </c>
      <c r="V60" s="99">
        <f t="shared" si="23"/>
        <v>102.50673470642623</v>
      </c>
      <c r="W60" s="99">
        <f t="shared" si="24"/>
        <v>6065559.7681425828</v>
      </c>
      <c r="X60" s="99">
        <f t="shared" si="13"/>
        <v>6065.5597681425825</v>
      </c>
      <c r="Y60" s="100">
        <f t="shared" si="14"/>
        <v>6.9641344909675205</v>
      </c>
      <c r="Z60" s="100">
        <f t="shared" si="25"/>
        <v>2.0892403472902559</v>
      </c>
      <c r="AA60" s="100">
        <f t="shared" si="26"/>
        <v>4.5266874191288879</v>
      </c>
      <c r="AB60" s="101">
        <f t="shared" si="35"/>
        <v>14457.564985356252</v>
      </c>
      <c r="AD60" s="41">
        <v>2033</v>
      </c>
      <c r="AE60" s="60">
        <v>87.269607873817606</v>
      </c>
      <c r="AF60" s="99">
        <v>5378.5664239999978</v>
      </c>
      <c r="AG60" s="101">
        <v>61.631609847231374</v>
      </c>
      <c r="AH60" s="99">
        <f t="shared" si="41"/>
        <v>45.5</v>
      </c>
      <c r="AI60" s="102">
        <f t="shared" si="36"/>
        <v>14.490445859872612</v>
      </c>
      <c r="AJ60" s="99">
        <f t="shared" si="27"/>
        <v>102.50673470642623</v>
      </c>
      <c r="AK60" s="99">
        <f t="shared" si="28"/>
        <v>551339.28152585938</v>
      </c>
      <c r="AL60" s="99">
        <f t="shared" si="29"/>
        <v>551.33928152585941</v>
      </c>
      <c r="AM60" s="100">
        <f t="shared" si="30"/>
        <v>6.3176550801401135</v>
      </c>
      <c r="AN60" s="100">
        <f t="shared" si="31"/>
        <v>1.8952965240420339</v>
      </c>
      <c r="AO60" s="100">
        <f t="shared" si="32"/>
        <v>4.1064758020910741</v>
      </c>
      <c r="AP60" s="101">
        <f t="shared" si="37"/>
        <v>1314.1447444809623</v>
      </c>
      <c r="AR60" s="17"/>
    </row>
    <row r="61" spans="1:44">
      <c r="B61" s="41">
        <v>2034</v>
      </c>
      <c r="C61" s="61">
        <v>4300</v>
      </c>
      <c r="D61" s="99">
        <v>316180.29976801126</v>
      </c>
      <c r="E61" s="99">
        <v>73.523215515437968</v>
      </c>
      <c r="F61" s="99">
        <f t="shared" si="39"/>
        <v>46</v>
      </c>
      <c r="G61" s="102">
        <f t="shared" si="33"/>
        <v>14.64968152866242</v>
      </c>
      <c r="H61" s="99">
        <f t="shared" si="16"/>
        <v>68.844555479155431</v>
      </c>
      <c r="I61" s="99">
        <f t="shared" si="17"/>
        <v>21767292.188794848</v>
      </c>
      <c r="J61" s="99">
        <f t="shared" si="18"/>
        <v>21767.292188794847</v>
      </c>
      <c r="K61" s="100">
        <f t="shared" si="19"/>
        <v>5.0621609741383367</v>
      </c>
      <c r="L61" s="100">
        <f t="shared" si="20"/>
        <v>1.518648292241501</v>
      </c>
      <c r="M61" s="100">
        <f t="shared" si="21"/>
        <v>3.2904046331899188</v>
      </c>
      <c r="N61" s="101">
        <f t="shared" si="38"/>
        <v>51883.429296601957</v>
      </c>
      <c r="P61" s="41">
        <v>2034</v>
      </c>
      <c r="Q61" s="61">
        <v>870.97108420430584</v>
      </c>
      <c r="R61" s="78">
        <v>59172.304976000058</v>
      </c>
      <c r="S61" s="101">
        <v>67.938311672032341</v>
      </c>
      <c r="T61" s="99">
        <f t="shared" si="40"/>
        <v>46</v>
      </c>
      <c r="U61" s="102">
        <f t="shared" si="34"/>
        <v>14.64968152866242</v>
      </c>
      <c r="V61" s="99">
        <f t="shared" si="23"/>
        <v>105.38065172865721</v>
      </c>
      <c r="W61" s="99">
        <f t="shared" si="24"/>
        <v>6235616.0626577521</v>
      </c>
      <c r="X61" s="99">
        <f t="shared" si="13"/>
        <v>6235.6160626577521</v>
      </c>
      <c r="Y61" s="100">
        <f t="shared" si="14"/>
        <v>7.1593835613434074</v>
      </c>
      <c r="Z61" s="100">
        <f t="shared" si="25"/>
        <v>2.1478150684030219</v>
      </c>
      <c r="AA61" s="100">
        <f t="shared" si="26"/>
        <v>4.6535993148732144</v>
      </c>
      <c r="AB61" s="101">
        <f t="shared" si="35"/>
        <v>14862.902666147882</v>
      </c>
      <c r="AD61" s="41">
        <v>2034</v>
      </c>
      <c r="AE61" s="60">
        <v>87.269607873817606</v>
      </c>
      <c r="AF61" s="99">
        <v>5378.5664239999978</v>
      </c>
      <c r="AG61" s="101">
        <v>61.631609847231374</v>
      </c>
      <c r="AH61" s="99">
        <f t="shared" si="41"/>
        <v>46</v>
      </c>
      <c r="AI61" s="102">
        <f t="shared" si="36"/>
        <v>14.64968152866242</v>
      </c>
      <c r="AJ61" s="99">
        <f t="shared" si="27"/>
        <v>105.38065172865721</v>
      </c>
      <c r="AK61" s="99">
        <f t="shared" si="28"/>
        <v>566796.83512699301</v>
      </c>
      <c r="AL61" s="99">
        <f t="shared" si="29"/>
        <v>566.79683512699296</v>
      </c>
      <c r="AM61" s="100">
        <f t="shared" si="30"/>
        <v>6.4947792127875692</v>
      </c>
      <c r="AN61" s="100">
        <f t="shared" si="31"/>
        <v>1.9484337638362708</v>
      </c>
      <c r="AO61" s="100">
        <f t="shared" si="32"/>
        <v>4.2216064883119202</v>
      </c>
      <c r="AP61" s="101">
        <f t="shared" si="37"/>
        <v>1350.9885963669442</v>
      </c>
      <c r="AR61" s="17"/>
    </row>
    <row r="62" spans="1:44">
      <c r="B62" s="41">
        <v>2035</v>
      </c>
      <c r="C62" s="61">
        <v>4300</v>
      </c>
      <c r="D62" s="99">
        <v>316180.29976801126</v>
      </c>
      <c r="E62" s="99">
        <v>73.523215515437968</v>
      </c>
      <c r="F62" s="99">
        <f t="shared" si="39"/>
        <v>46.5</v>
      </c>
      <c r="G62" s="102">
        <f t="shared" si="33"/>
        <v>14.808917197452228</v>
      </c>
      <c r="H62" s="99">
        <f t="shared" si="16"/>
        <v>70.593104474883077</v>
      </c>
      <c r="I62" s="99">
        <f t="shared" si="17"/>
        <v>22320148.934423067</v>
      </c>
      <c r="J62" s="99">
        <f t="shared" si="18"/>
        <v>22320.148934423065</v>
      </c>
      <c r="K62" s="100">
        <f t="shared" si="19"/>
        <v>5.1907323103309455</v>
      </c>
      <c r="L62" s="100">
        <f t="shared" si="20"/>
        <v>1.5572196930992837</v>
      </c>
      <c r="M62" s="100">
        <f t="shared" si="21"/>
        <v>3.3739760017151146</v>
      </c>
      <c r="N62" s="101">
        <f t="shared" si="38"/>
        <v>53201.190992644093</v>
      </c>
      <c r="P62" s="41">
        <v>2035</v>
      </c>
      <c r="Q62" s="61">
        <v>870.97108420430584</v>
      </c>
      <c r="R62" s="78">
        <v>59172.304976000058</v>
      </c>
      <c r="S62" s="101">
        <v>67.938311672032341</v>
      </c>
      <c r="T62" s="99">
        <f t="shared" si="40"/>
        <v>46.5</v>
      </c>
      <c r="U62" s="102">
        <f t="shared" si="34"/>
        <v>14.808917197452228</v>
      </c>
      <c r="V62" s="99">
        <f t="shared" si="23"/>
        <v>108.30276309922529</v>
      </c>
      <c r="W62" s="99">
        <f t="shared" si="24"/>
        <v>6408524.1278508436</v>
      </c>
      <c r="X62" s="99">
        <f t="shared" si="13"/>
        <v>6408.5241278508438</v>
      </c>
      <c r="Y62" s="100">
        <f t="shared" si="14"/>
        <v>7.3579068743774512</v>
      </c>
      <c r="Z62" s="100">
        <f t="shared" si="25"/>
        <v>2.2073720623132354</v>
      </c>
      <c r="AA62" s="100">
        <f t="shared" si="26"/>
        <v>4.7826394683453435</v>
      </c>
      <c r="AB62" s="101">
        <f t="shared" si="35"/>
        <v>15275.037684938879</v>
      </c>
      <c r="AD62" s="41">
        <v>2035</v>
      </c>
      <c r="AE62" s="60">
        <v>87.269607873817606</v>
      </c>
      <c r="AF62" s="99">
        <v>5378.5664239999978</v>
      </c>
      <c r="AG62" s="101">
        <v>61.631609847231374</v>
      </c>
      <c r="AH62" s="99">
        <f t="shared" si="41"/>
        <v>46.5</v>
      </c>
      <c r="AI62" s="102">
        <f t="shared" si="36"/>
        <v>14.808917197452228</v>
      </c>
      <c r="AJ62" s="99">
        <f t="shared" si="27"/>
        <v>108.30276309922529</v>
      </c>
      <c r="AK62" s="99">
        <f t="shared" si="28"/>
        <v>582513.60523191909</v>
      </c>
      <c r="AL62" s="99">
        <f t="shared" si="29"/>
        <v>582.51360523191909</v>
      </c>
      <c r="AM62" s="100">
        <f t="shared" si="30"/>
        <v>6.6748736407085802</v>
      </c>
      <c r="AN62" s="100">
        <f t="shared" si="31"/>
        <v>2.002462092212574</v>
      </c>
      <c r="AO62" s="100">
        <f t="shared" si="32"/>
        <v>4.3386678664605771</v>
      </c>
      <c r="AP62" s="101">
        <f t="shared" si="37"/>
        <v>1388.4503037505408</v>
      </c>
      <c r="AR62" s="17"/>
    </row>
    <row r="63" spans="1:44">
      <c r="B63" s="41">
        <v>2036</v>
      </c>
      <c r="C63" s="61">
        <v>4300</v>
      </c>
      <c r="D63" s="99">
        <v>316180.29976801126</v>
      </c>
      <c r="E63" s="99">
        <v>73.523215515437968</v>
      </c>
      <c r="F63" s="99">
        <f t="shared" si="39"/>
        <v>47</v>
      </c>
      <c r="G63" s="102">
        <f t="shared" si="33"/>
        <v>14.968152866242038</v>
      </c>
      <c r="H63" s="99">
        <f t="shared" si="16"/>
        <v>72.366648715134744</v>
      </c>
      <c r="I63" s="99">
        <f t="shared" si="17"/>
        <v>22880908.68395767</v>
      </c>
      <c r="J63" s="99">
        <f t="shared" si="18"/>
        <v>22880.90868395767</v>
      </c>
      <c r="K63" s="100">
        <f t="shared" si="19"/>
        <v>5.3211415544087606</v>
      </c>
      <c r="L63" s="100">
        <f t="shared" si="20"/>
        <v>1.5963424663226282</v>
      </c>
      <c r="M63" s="100">
        <f t="shared" si="21"/>
        <v>3.4587420103656945</v>
      </c>
      <c r="N63" s="101">
        <f t="shared" si="38"/>
        <v>54537.789893647307</v>
      </c>
      <c r="P63" s="41">
        <v>2036</v>
      </c>
      <c r="Q63" s="61">
        <v>870.97108420430584</v>
      </c>
      <c r="R63" s="78">
        <v>59172.304976000058</v>
      </c>
      <c r="S63" s="101">
        <v>67.938311672032341</v>
      </c>
      <c r="T63" s="99">
        <f t="shared" si="40"/>
        <v>47</v>
      </c>
      <c r="U63" s="102">
        <f t="shared" si="34"/>
        <v>14.968152866242038</v>
      </c>
      <c r="V63" s="99">
        <f t="shared" si="23"/>
        <v>111.27334575658737</v>
      </c>
      <c r="W63" s="99">
        <f t="shared" si="24"/>
        <v>6584300.3508086903</v>
      </c>
      <c r="X63" s="99">
        <f t="shared" si="13"/>
        <v>6584.3003508086904</v>
      </c>
      <c r="Y63" s="100">
        <f t="shared" si="14"/>
        <v>7.5597232448008516</v>
      </c>
      <c r="Z63" s="100">
        <f t="shared" si="25"/>
        <v>2.2679169734402556</v>
      </c>
      <c r="AA63" s="100">
        <f t="shared" si="26"/>
        <v>4.9138201091205538</v>
      </c>
      <c r="AB63" s="101">
        <f t="shared" si="35"/>
        <v>15694.009101170055</v>
      </c>
      <c r="AD63" s="41">
        <v>2036</v>
      </c>
      <c r="AE63" s="60">
        <v>87.269607873817606</v>
      </c>
      <c r="AF63" s="99">
        <v>5378.5664239999978</v>
      </c>
      <c r="AG63" s="101">
        <v>61.631609847231374</v>
      </c>
      <c r="AH63" s="99">
        <f t="shared" si="41"/>
        <v>47</v>
      </c>
      <c r="AI63" s="102">
        <f t="shared" si="36"/>
        <v>14.968152866242038</v>
      </c>
      <c r="AJ63" s="99">
        <f t="shared" si="27"/>
        <v>111.27334575658737</v>
      </c>
      <c r="AK63" s="99">
        <f t="shared" si="28"/>
        <v>598491.08137252345</v>
      </c>
      <c r="AL63" s="99">
        <f t="shared" si="29"/>
        <v>598.49108137252347</v>
      </c>
      <c r="AM63" s="100">
        <f t="shared" si="30"/>
        <v>6.8579554320660714</v>
      </c>
      <c r="AN63" s="100">
        <f t="shared" si="31"/>
        <v>2.0573866296198213</v>
      </c>
      <c r="AO63" s="100">
        <f t="shared" si="32"/>
        <v>4.4576710308429464</v>
      </c>
      <c r="AP63" s="101">
        <f t="shared" si="37"/>
        <v>1426.5334170054782</v>
      </c>
      <c r="AR63" s="17"/>
    </row>
    <row r="64" spans="1:44">
      <c r="B64" s="41">
        <v>2037</v>
      </c>
      <c r="C64" s="61">
        <v>4300</v>
      </c>
      <c r="D64" s="99">
        <v>316180.29976801126</v>
      </c>
      <c r="E64" s="99">
        <v>73.523215515437968</v>
      </c>
      <c r="F64" s="99">
        <f t="shared" si="39"/>
        <v>47.5</v>
      </c>
      <c r="G64" s="102">
        <f t="shared" si="33"/>
        <v>15.127388535031846</v>
      </c>
      <c r="H64" s="99">
        <f t="shared" si="16"/>
        <v>74.165273893618092</v>
      </c>
      <c r="I64" s="99">
        <f t="shared" si="17"/>
        <v>23449598.532060828</v>
      </c>
      <c r="J64" s="99">
        <f t="shared" si="18"/>
        <v>23449.598532060827</v>
      </c>
      <c r="K64" s="100">
        <f t="shared" si="19"/>
        <v>5.453395007456006</v>
      </c>
      <c r="L64" s="100">
        <f t="shared" si="20"/>
        <v>1.6360185022368017</v>
      </c>
      <c r="M64" s="100">
        <f t="shared" si="21"/>
        <v>3.5447067548464037</v>
      </c>
      <c r="N64" s="101">
        <f t="shared" si="38"/>
        <v>55893.290581093577</v>
      </c>
      <c r="P64" s="41">
        <v>2037</v>
      </c>
      <c r="Q64" s="61">
        <v>870.97108420430584</v>
      </c>
      <c r="R64" s="78">
        <v>59172.304976000058</v>
      </c>
      <c r="S64" s="101">
        <v>67.938311672032341</v>
      </c>
      <c r="T64" s="99">
        <f t="shared" si="40"/>
        <v>47.5</v>
      </c>
      <c r="U64" s="102">
        <f t="shared" si="34"/>
        <v>15.127388535031846</v>
      </c>
      <c r="V64" s="99">
        <f t="shared" si="23"/>
        <v>114.29267524307683</v>
      </c>
      <c r="W64" s="99">
        <f t="shared" si="24"/>
        <v>6762961.0360062737</v>
      </c>
      <c r="X64" s="99">
        <f t="shared" si="13"/>
        <v>6762.9610360062734</v>
      </c>
      <c r="Y64" s="100">
        <f t="shared" si="14"/>
        <v>7.7648513924945286</v>
      </c>
      <c r="Z64" s="100">
        <f t="shared" si="25"/>
        <v>2.3294554177483584</v>
      </c>
      <c r="AA64" s="100">
        <f t="shared" si="26"/>
        <v>5.0471534051214437</v>
      </c>
      <c r="AB64" s="101">
        <f t="shared" si="35"/>
        <v>16119.855777372753</v>
      </c>
      <c r="AD64" s="41">
        <v>2037</v>
      </c>
      <c r="AE64" s="60">
        <v>87.269607873817606</v>
      </c>
      <c r="AF64" s="99">
        <v>5378.5664239999978</v>
      </c>
      <c r="AG64" s="101">
        <v>61.631609847231374</v>
      </c>
      <c r="AH64" s="99">
        <f t="shared" si="41"/>
        <v>47.5</v>
      </c>
      <c r="AI64" s="102">
        <f t="shared" si="36"/>
        <v>15.127388535031846</v>
      </c>
      <c r="AJ64" s="99">
        <f t="shared" si="27"/>
        <v>114.29267524307683</v>
      </c>
      <c r="AK64" s="99">
        <f t="shared" si="28"/>
        <v>614730.74557154882</v>
      </c>
      <c r="AL64" s="99">
        <f t="shared" si="29"/>
        <v>614.73074557154882</v>
      </c>
      <c r="AM64" s="100">
        <f t="shared" si="30"/>
        <v>7.0440415689776312</v>
      </c>
      <c r="AN64" s="100">
        <f t="shared" si="31"/>
        <v>2.1132124706932891</v>
      </c>
      <c r="AO64" s="100">
        <f t="shared" si="32"/>
        <v>4.5786270198354604</v>
      </c>
      <c r="AP64" s="101">
        <f t="shared" si="37"/>
        <v>1465.2414686070651</v>
      </c>
      <c r="AR64" s="17"/>
    </row>
    <row r="65" spans="2:44">
      <c r="B65" s="41">
        <v>2038</v>
      </c>
      <c r="C65" s="61">
        <v>4300</v>
      </c>
      <c r="D65" s="99">
        <v>316180.29976801126</v>
      </c>
      <c r="E65" s="99">
        <v>73.523215515437968</v>
      </c>
      <c r="F65" s="99">
        <f t="shared" si="39"/>
        <v>48</v>
      </c>
      <c r="G65" s="102">
        <f t="shared" si="33"/>
        <v>15.286624203821656</v>
      </c>
      <c r="H65" s="99">
        <f t="shared" si="16"/>
        <v>75.989065086330697</v>
      </c>
      <c r="I65" s="99">
        <f t="shared" si="17"/>
        <v>24026245.378086958</v>
      </c>
      <c r="J65" s="99">
        <f t="shared" si="18"/>
        <v>24026.245378086958</v>
      </c>
      <c r="K65" s="100">
        <f t="shared" si="19"/>
        <v>5.5874989251365017</v>
      </c>
      <c r="L65" s="100">
        <f t="shared" si="20"/>
        <v>1.6762496775409506</v>
      </c>
      <c r="M65" s="100">
        <f t="shared" si="21"/>
        <v>3.6318743013387262</v>
      </c>
      <c r="N65" s="101">
        <f t="shared" si="38"/>
        <v>57267.757170939163</v>
      </c>
      <c r="P65" s="41">
        <v>2038</v>
      </c>
      <c r="Q65" s="61">
        <v>870.97108420430584</v>
      </c>
      <c r="R65" s="78">
        <v>59172.304976000058</v>
      </c>
      <c r="S65" s="101">
        <v>67.938311672032341</v>
      </c>
      <c r="T65" s="99">
        <f t="shared" si="40"/>
        <v>48</v>
      </c>
      <c r="U65" s="102">
        <f t="shared" si="34"/>
        <v>15.286624203821656</v>
      </c>
      <c r="V65" s="99">
        <f t="shared" si="23"/>
        <v>117.36102572668413</v>
      </c>
      <c r="W65" s="99">
        <f t="shared" si="24"/>
        <v>6944522.4065955421</v>
      </c>
      <c r="X65" s="99">
        <f t="shared" si="13"/>
        <v>6944.5224065955417</v>
      </c>
      <c r="Y65" s="100">
        <f t="shared" si="14"/>
        <v>7.9733099439688724</v>
      </c>
      <c r="Z65" s="100">
        <f t="shared" si="25"/>
        <v>2.3919929831906614</v>
      </c>
      <c r="AA65" s="100">
        <f t="shared" si="26"/>
        <v>5.1826514635797665</v>
      </c>
      <c r="AB65" s="101">
        <f t="shared" si="35"/>
        <v>16552.616382240802</v>
      </c>
      <c r="AD65" s="41">
        <v>2038</v>
      </c>
      <c r="AE65" s="60">
        <v>87.269607873817606</v>
      </c>
      <c r="AF65" s="99">
        <v>5378.5664239999978</v>
      </c>
      <c r="AG65" s="101">
        <v>61.631609847231374</v>
      </c>
      <c r="AH65" s="99">
        <f t="shared" si="41"/>
        <v>48</v>
      </c>
      <c r="AI65" s="102">
        <f t="shared" si="36"/>
        <v>15.286624203821656</v>
      </c>
      <c r="AJ65" s="99">
        <f t="shared" si="27"/>
        <v>117.36102572668413</v>
      </c>
      <c r="AK65" s="99">
        <f t="shared" si="28"/>
        <v>631234.07245974324</v>
      </c>
      <c r="AL65" s="99">
        <f t="shared" si="29"/>
        <v>631.23407245974329</v>
      </c>
      <c r="AM65" s="100">
        <f t="shared" si="30"/>
        <v>7.2331489488578811</v>
      </c>
      <c r="AN65" s="100">
        <f t="shared" si="31"/>
        <v>2.1699446846573642</v>
      </c>
      <c r="AO65" s="100">
        <f t="shared" si="32"/>
        <v>4.7015468167576229</v>
      </c>
      <c r="AP65" s="101">
        <f t="shared" si="37"/>
        <v>1504.577973411421</v>
      </c>
      <c r="AR65" s="17"/>
    </row>
    <row r="66" spans="2:44">
      <c r="B66" s="41">
        <v>2039</v>
      </c>
      <c r="C66" s="61">
        <v>4300</v>
      </c>
      <c r="D66" s="99">
        <v>316180.29976801126</v>
      </c>
      <c r="E66" s="99">
        <v>73.523215515437968</v>
      </c>
      <c r="F66" s="99">
        <f t="shared" si="39"/>
        <v>48.5</v>
      </c>
      <c r="G66" s="102">
        <f t="shared" si="33"/>
        <v>15.445859872611464</v>
      </c>
      <c r="H66" s="99">
        <f t="shared" si="16"/>
        <v>77.838106762445889</v>
      </c>
      <c r="I66" s="99">
        <f t="shared" si="17"/>
        <v>24610875.929524604</v>
      </c>
      <c r="J66" s="99">
        <f t="shared" si="18"/>
        <v>24610.875929524605</v>
      </c>
      <c r="K66" s="100">
        <f t="shared" si="19"/>
        <v>5.723459518494094</v>
      </c>
      <c r="L66" s="100">
        <f t="shared" si="20"/>
        <v>1.7170378555482282</v>
      </c>
      <c r="M66" s="100">
        <f t="shared" si="21"/>
        <v>3.7202486870211611</v>
      </c>
      <c r="N66" s="101">
        <f t="shared" si="38"/>
        <v>58661.253321818367</v>
      </c>
      <c r="P66" s="41">
        <v>2039</v>
      </c>
      <c r="Q66" s="61">
        <v>870.97108420430584</v>
      </c>
      <c r="R66" s="78">
        <v>59172.304976000058</v>
      </c>
      <c r="S66" s="101">
        <v>67.938311672032341</v>
      </c>
      <c r="T66" s="99">
        <f t="shared" si="40"/>
        <v>48.5</v>
      </c>
      <c r="U66" s="102">
        <f t="shared" si="34"/>
        <v>15.445859872611464</v>
      </c>
      <c r="V66" s="99">
        <f t="shared" si="23"/>
        <v>120.47867002227193</v>
      </c>
      <c r="W66" s="99">
        <f t="shared" si="24"/>
        <v>7129000.6056607505</v>
      </c>
      <c r="X66" s="99">
        <f t="shared" si="13"/>
        <v>7129.0006056607508</v>
      </c>
      <c r="Y66" s="100">
        <f t="shared" si="14"/>
        <v>8.1851174338050505</v>
      </c>
      <c r="Z66" s="100">
        <f t="shared" si="25"/>
        <v>2.455535230141515</v>
      </c>
      <c r="AA66" s="100">
        <f t="shared" si="26"/>
        <v>5.3203263319732823</v>
      </c>
      <c r="AB66" s="101">
        <f t="shared" si="35"/>
        <v>16992.329393622676</v>
      </c>
      <c r="AD66" s="41">
        <v>2039</v>
      </c>
      <c r="AE66" s="60">
        <v>87.269607873817606</v>
      </c>
      <c r="AF66" s="99">
        <v>5378.5664239999978</v>
      </c>
      <c r="AG66" s="101">
        <v>61.631609847231374</v>
      </c>
      <c r="AH66" s="99">
        <f t="shared" si="41"/>
        <v>48.5</v>
      </c>
      <c r="AI66" s="102">
        <f t="shared" si="36"/>
        <v>15.445859872611464</v>
      </c>
      <c r="AJ66" s="99">
        <f t="shared" si="27"/>
        <v>120.47867002227193</v>
      </c>
      <c r="AK66" s="99">
        <f t="shared" si="28"/>
        <v>648002.52938996686</v>
      </c>
      <c r="AL66" s="99">
        <f t="shared" si="29"/>
        <v>648.00252938996687</v>
      </c>
      <c r="AM66" s="100">
        <f t="shared" si="30"/>
        <v>7.4252943857259943</v>
      </c>
      <c r="AN66" s="100">
        <f t="shared" si="31"/>
        <v>2.227588315717798</v>
      </c>
      <c r="AO66" s="100">
        <f t="shared" si="32"/>
        <v>4.826441350721896</v>
      </c>
      <c r="AP66" s="101">
        <f t="shared" si="37"/>
        <v>1544.5464289274553</v>
      </c>
      <c r="AR66" s="17"/>
    </row>
    <row r="67" spans="2:44">
      <c r="B67" s="41">
        <v>2040</v>
      </c>
      <c r="C67" s="61">
        <v>4300</v>
      </c>
      <c r="D67" s="99">
        <v>316180.29976801126</v>
      </c>
      <c r="E67" s="99">
        <v>73.523215515437968</v>
      </c>
      <c r="F67" s="99">
        <f t="shared" si="39"/>
        <v>49</v>
      </c>
      <c r="G67" s="102">
        <f t="shared" si="33"/>
        <v>15.605095541401273</v>
      </c>
      <c r="H67" s="99">
        <f t="shared" si="16"/>
        <v>79.712482794894683</v>
      </c>
      <c r="I67" s="99">
        <f t="shared" si="17"/>
        <v>25203516.705342241</v>
      </c>
      <c r="J67" s="99">
        <f t="shared" si="18"/>
        <v>25203.516705342241</v>
      </c>
      <c r="K67" s="100">
        <f t="shared" si="19"/>
        <v>5.8612829547307541</v>
      </c>
      <c r="L67" s="100">
        <f t="shared" si="20"/>
        <v>1.7583848864192262</v>
      </c>
      <c r="M67" s="100">
        <f t="shared" si="21"/>
        <v>3.8098339205749903</v>
      </c>
      <c r="N67" s="101">
        <f t="shared" si="38"/>
        <v>60073.842243018502</v>
      </c>
      <c r="P67" s="41">
        <v>2040</v>
      </c>
      <c r="Q67" s="61">
        <v>870.97108420430584</v>
      </c>
      <c r="R67" s="78">
        <v>59172.304976000058</v>
      </c>
      <c r="S67" s="101">
        <v>67.938311672032341</v>
      </c>
      <c r="T67" s="99">
        <f t="shared" si="40"/>
        <v>49</v>
      </c>
      <c r="U67" s="102">
        <f t="shared" si="34"/>
        <v>15.605095541401273</v>
      </c>
      <c r="V67" s="99">
        <f t="shared" si="23"/>
        <v>123.64587961224615</v>
      </c>
      <c r="W67" s="99">
        <f t="shared" si="24"/>
        <v>7316411.697441617</v>
      </c>
      <c r="X67" s="99">
        <f t="shared" si="13"/>
        <v>7316.4116974416174</v>
      </c>
      <c r="Y67" s="100">
        <f t="shared" si="14"/>
        <v>8.4002923060593702</v>
      </c>
      <c r="Z67" s="100">
        <f t="shared" si="25"/>
        <v>2.5200876918178108</v>
      </c>
      <c r="AA67" s="100">
        <f t="shared" si="26"/>
        <v>5.4601899989385903</v>
      </c>
      <c r="AB67" s="101">
        <f t="shared" si="35"/>
        <v>17439.033101436966</v>
      </c>
      <c r="AD67" s="41">
        <v>2040</v>
      </c>
      <c r="AE67" s="60">
        <v>87.269607873817606</v>
      </c>
      <c r="AF67" s="99">
        <v>5378.5664239999978</v>
      </c>
      <c r="AG67" s="101">
        <v>61.631609847231374</v>
      </c>
      <c r="AH67" s="99">
        <f t="shared" si="41"/>
        <v>49</v>
      </c>
      <c r="AI67" s="102">
        <f t="shared" si="36"/>
        <v>15.605095541401273</v>
      </c>
      <c r="AJ67" s="99">
        <f t="shared" si="27"/>
        <v>123.64587961224615</v>
      </c>
      <c r="AK67" s="99">
        <f t="shared" si="28"/>
        <v>665037.57654837298</v>
      </c>
      <c r="AL67" s="99">
        <f t="shared" si="29"/>
        <v>665.03757654837295</v>
      </c>
      <c r="AM67" s="100">
        <f t="shared" si="30"/>
        <v>7.6204946114796943</v>
      </c>
      <c r="AN67" s="100">
        <f t="shared" si="31"/>
        <v>2.286148383443908</v>
      </c>
      <c r="AO67" s="100">
        <f t="shared" si="32"/>
        <v>4.9533214974618014</v>
      </c>
      <c r="AP67" s="101">
        <f t="shared" si="37"/>
        <v>1585.1503155818743</v>
      </c>
      <c r="AR67" s="17"/>
    </row>
    <row r="68" spans="2:44">
      <c r="B68" s="41">
        <v>2041</v>
      </c>
      <c r="C68" s="61">
        <v>4300</v>
      </c>
      <c r="D68" s="99">
        <v>316180.29976801126</v>
      </c>
      <c r="E68" s="99">
        <v>73.523215515437968</v>
      </c>
      <c r="F68" s="99">
        <f t="shared" si="39"/>
        <v>49.5</v>
      </c>
      <c r="G68" s="102">
        <f>F68/3.14</f>
        <v>15.764331210191083</v>
      </c>
      <c r="H68" s="99">
        <f t="shared" si="16"/>
        <v>81.612276470658514</v>
      </c>
      <c r="I68" s="99">
        <f t="shared" si="17"/>
        <v>25804194.039242622</v>
      </c>
      <c r="J68" s="99">
        <f t="shared" si="18"/>
        <v>25804.194039242622</v>
      </c>
      <c r="K68" s="100">
        <f t="shared" si="19"/>
        <v>6.0009753579634006</v>
      </c>
      <c r="L68" s="100">
        <f t="shared" si="20"/>
        <v>1.8002926073890202</v>
      </c>
      <c r="M68" s="100">
        <f t="shared" si="21"/>
        <v>3.9006339826762106</v>
      </c>
      <c r="N68" s="101">
        <f t="shared" si="38"/>
        <v>61505.586702236753</v>
      </c>
      <c r="P68" s="41">
        <v>2041</v>
      </c>
      <c r="Q68" s="61">
        <v>870.97108420430584</v>
      </c>
      <c r="R68" s="78">
        <v>59172.304976000058</v>
      </c>
      <c r="S68" s="101">
        <v>67.938311672032341</v>
      </c>
      <c r="T68" s="99">
        <f t="shared" si="40"/>
        <v>49.5</v>
      </c>
      <c r="U68" s="102">
        <f t="shared" si="34"/>
        <v>15.764331210191083</v>
      </c>
      <c r="V68" s="99">
        <f t="shared" si="23"/>
        <v>126.86292466670106</v>
      </c>
      <c r="W68" s="99">
        <f t="shared" si="24"/>
        <v>7506771.6685253559</v>
      </c>
      <c r="X68" s="99">
        <f t="shared" si="13"/>
        <v>7506.7716685253563</v>
      </c>
      <c r="Y68" s="100">
        <f t="shared" si="14"/>
        <v>8.6188529156318978</v>
      </c>
      <c r="Z68" s="100">
        <f t="shared" si="25"/>
        <v>2.5856558746895693</v>
      </c>
      <c r="AA68" s="100">
        <f t="shared" si="26"/>
        <v>5.6022543951607338</v>
      </c>
      <c r="AB68" s="101">
        <f t="shared" si="35"/>
        <v>17892.765610513612</v>
      </c>
      <c r="AD68" s="41">
        <v>2041</v>
      </c>
      <c r="AE68" s="60">
        <v>87.269607873817606</v>
      </c>
      <c r="AF68" s="99">
        <v>5378.5664239999978</v>
      </c>
      <c r="AG68" s="101">
        <v>61.631609847231374</v>
      </c>
      <c r="AH68" s="99">
        <f t="shared" si="41"/>
        <v>49.5</v>
      </c>
      <c r="AI68" s="102">
        <f t="shared" si="36"/>
        <v>15.764331210191083</v>
      </c>
      <c r="AJ68" s="99">
        <f t="shared" si="27"/>
        <v>126.86292466670106</v>
      </c>
      <c r="AK68" s="99">
        <f t="shared" si="28"/>
        <v>682340.6670627594</v>
      </c>
      <c r="AL68" s="99">
        <f t="shared" si="29"/>
        <v>682.34066706275939</v>
      </c>
      <c r="AM68" s="100">
        <f t="shared" si="30"/>
        <v>7.8187662771368247</v>
      </c>
      <c r="AN68" s="100">
        <f t="shared" si="31"/>
        <v>2.3456298831410471</v>
      </c>
      <c r="AO68" s="100">
        <f t="shared" si="32"/>
        <v>5.0821980801389355</v>
      </c>
      <c r="AP68" s="101">
        <f t="shared" si="37"/>
        <v>1626.3930969774399</v>
      </c>
      <c r="AR68" s="17"/>
    </row>
    <row r="69" spans="2:44">
      <c r="B69" s="41">
        <v>2042</v>
      </c>
      <c r="C69" s="61">
        <v>4300</v>
      </c>
      <c r="D69" s="99">
        <v>316180.29976801126</v>
      </c>
      <c r="E69" s="99">
        <v>73.523215515437968</v>
      </c>
      <c r="F69" s="99">
        <f t="shared" si="39"/>
        <v>50</v>
      </c>
      <c r="G69" s="102">
        <f t="shared" si="33"/>
        <v>15.923566878980891</v>
      </c>
      <c r="H69" s="99">
        <f t="shared" si="16"/>
        <v>83.53757050077904</v>
      </c>
      <c r="I69" s="99">
        <f t="shared" si="17"/>
        <v>26412934.082827691</v>
      </c>
      <c r="J69" s="99">
        <f t="shared" si="18"/>
        <v>26412.934082827691</v>
      </c>
      <c r="K69" s="100">
        <f t="shared" si="19"/>
        <v>6.1425428099599282</v>
      </c>
      <c r="L69" s="100">
        <f t="shared" si="20"/>
        <v>1.8427628429879783</v>
      </c>
      <c r="M69" s="100">
        <f t="shared" si="21"/>
        <v>3.9926528264739534</v>
      </c>
      <c r="N69" s="101">
        <f t="shared" si="38"/>
        <v>62956.549033123949</v>
      </c>
      <c r="P69" s="41">
        <v>2042</v>
      </c>
      <c r="Q69" s="61">
        <v>870.97108420430584</v>
      </c>
      <c r="R69" s="78">
        <v>59172.304976000058</v>
      </c>
      <c r="S69" s="101">
        <v>67.938311672032341</v>
      </c>
      <c r="T69" s="99">
        <f t="shared" si="40"/>
        <v>50</v>
      </c>
      <c r="U69" s="102">
        <f t="shared" si="34"/>
        <v>15.923566878980891</v>
      </c>
      <c r="V69" s="99">
        <f t="shared" si="23"/>
        <v>130.13007406305945</v>
      </c>
      <c r="W69" s="99">
        <f t="shared" si="24"/>
        <v>7700096.4290088285</v>
      </c>
      <c r="X69" s="99">
        <f t="shared" si="13"/>
        <v>7700.0964290088286</v>
      </c>
      <c r="Y69" s="100">
        <f t="shared" si="14"/>
        <v>8.8408175296007858</v>
      </c>
      <c r="Z69" s="100">
        <f t="shared" si="25"/>
        <v>2.6522452588802357</v>
      </c>
      <c r="AA69" s="100">
        <f t="shared" si="26"/>
        <v>5.7465313942405105</v>
      </c>
      <c r="AB69" s="101">
        <f t="shared" si="35"/>
        <v>18353.564843363991</v>
      </c>
      <c r="AD69" s="41">
        <v>2042</v>
      </c>
      <c r="AE69" s="60">
        <v>87.269607873817606</v>
      </c>
      <c r="AF69" s="99">
        <v>5378.5664239999978</v>
      </c>
      <c r="AG69" s="101">
        <v>61.631609847231374</v>
      </c>
      <c r="AH69" s="99">
        <f t="shared" si="41"/>
        <v>50</v>
      </c>
      <c r="AI69" s="102">
        <f t="shared" si="36"/>
        <v>15.923566878980891</v>
      </c>
      <c r="AJ69" s="99">
        <f t="shared" si="27"/>
        <v>130.13007406305945</v>
      </c>
      <c r="AK69" s="99">
        <f t="shared" si="28"/>
        <v>699913.24710820452</v>
      </c>
      <c r="AL69" s="99">
        <f t="shared" si="29"/>
        <v>699.91324710820447</v>
      </c>
      <c r="AM69" s="100">
        <f t="shared" si="30"/>
        <v>8.0201259540458025</v>
      </c>
      <c r="AN69" s="100">
        <f t="shared" si="31"/>
        <v>2.4060377862137408</v>
      </c>
      <c r="AO69" s="100">
        <f t="shared" si="32"/>
        <v>5.2130818701297716</v>
      </c>
      <c r="AP69" s="101">
        <f t="shared" si="37"/>
        <v>1668.2782201447608</v>
      </c>
      <c r="AR69" s="17"/>
    </row>
    <row r="70" spans="2:44">
      <c r="B70" s="41">
        <v>2043</v>
      </c>
      <c r="C70" s="61">
        <v>4300</v>
      </c>
      <c r="D70" s="99">
        <v>316180.29976801126</v>
      </c>
      <c r="E70" s="99">
        <v>73.523215515437968</v>
      </c>
      <c r="F70" s="99">
        <f t="shared" si="39"/>
        <v>50.5</v>
      </c>
      <c r="G70" s="102">
        <f t="shared" si="33"/>
        <v>16.082802547770701</v>
      </c>
      <c r="H70" s="99">
        <f t="shared" si="16"/>
        <v>85.48844703009911</v>
      </c>
      <c r="I70" s="99">
        <f t="shared" si="17"/>
        <v>27029762.808678489</v>
      </c>
      <c r="J70" s="99">
        <f t="shared" si="18"/>
        <v>27029.76280867849</v>
      </c>
      <c r="K70" s="100">
        <f t="shared" si="19"/>
        <v>6.285991350855463</v>
      </c>
      <c r="L70" s="100">
        <f t="shared" si="20"/>
        <v>1.8857974052566389</v>
      </c>
      <c r="M70" s="100">
        <f t="shared" si="21"/>
        <v>4.085894378056051</v>
      </c>
      <c r="N70" s="101">
        <f t="shared" si="38"/>
        <v>64426.791142625618</v>
      </c>
      <c r="P70" s="41">
        <v>2043</v>
      </c>
      <c r="Q70" s="61">
        <v>870.97108420430584</v>
      </c>
      <c r="R70" s="78">
        <v>59172.304976000058</v>
      </c>
      <c r="S70" s="101">
        <v>67.938311672032341</v>
      </c>
      <c r="T70" s="99">
        <f t="shared" si="40"/>
        <v>50.5</v>
      </c>
      <c r="U70" s="102">
        <f t="shared" si="34"/>
        <v>16.082802547770701</v>
      </c>
      <c r="V70" s="99">
        <f t="shared" si="23"/>
        <v>133.44759540522151</v>
      </c>
      <c r="W70" s="99">
        <f t="shared" si="24"/>
        <v>7896401.8136316305</v>
      </c>
      <c r="X70" s="99">
        <f t="shared" si="13"/>
        <v>7896.4018136316308</v>
      </c>
      <c r="Y70" s="100">
        <f t="shared" si="14"/>
        <v>9.0662043285232095</v>
      </c>
      <c r="Z70" s="100">
        <f t="shared" si="25"/>
        <v>2.7198612985569626</v>
      </c>
      <c r="AA70" s="100">
        <f t="shared" si="26"/>
        <v>5.8930328135400858</v>
      </c>
      <c r="AB70" s="101">
        <f t="shared" si="35"/>
        <v>18821.46854288167</v>
      </c>
      <c r="AD70" s="41">
        <v>2043</v>
      </c>
      <c r="AE70" s="60">
        <v>87.269607873817606</v>
      </c>
      <c r="AF70" s="99">
        <v>5378.5664239999978</v>
      </c>
      <c r="AG70" s="101">
        <v>61.631609847231374</v>
      </c>
      <c r="AH70" s="99">
        <f t="shared" si="41"/>
        <v>50.5</v>
      </c>
      <c r="AI70" s="102">
        <f t="shared" si="36"/>
        <v>16.082802547770701</v>
      </c>
      <c r="AJ70" s="99">
        <f t="shared" si="27"/>
        <v>133.44759540522151</v>
      </c>
      <c r="AK70" s="99">
        <f t="shared" si="28"/>
        <v>717756.75601006078</v>
      </c>
      <c r="AL70" s="99">
        <f t="shared" si="29"/>
        <v>717.75675601006083</v>
      </c>
      <c r="AM70" s="100">
        <f t="shared" si="30"/>
        <v>8.2245901350657995</v>
      </c>
      <c r="AN70" s="100">
        <f t="shared" si="31"/>
        <v>2.4673770405197399</v>
      </c>
      <c r="AO70" s="100">
        <f t="shared" si="32"/>
        <v>5.3459835877927695</v>
      </c>
      <c r="AP70" s="101">
        <f t="shared" si="37"/>
        <v>1710.8091157877805</v>
      </c>
      <c r="AR70" s="17"/>
    </row>
    <row r="71" spans="2:44">
      <c r="B71" s="41">
        <v>2044</v>
      </c>
      <c r="C71" s="61">
        <v>4300</v>
      </c>
      <c r="D71" s="99">
        <v>316180.29976801126</v>
      </c>
      <c r="E71" s="99">
        <v>73.523215515437968</v>
      </c>
      <c r="F71" s="99">
        <f t="shared" si="39"/>
        <v>51</v>
      </c>
      <c r="G71" s="102">
        <f t="shared" si="33"/>
        <v>16.242038216560509</v>
      </c>
      <c r="H71" s="99">
        <f t="shared" si="16"/>
        <v>87.464987646744234</v>
      </c>
      <c r="I71" s="99">
        <f t="shared" si="17"/>
        <v>27654706.013352994</v>
      </c>
      <c r="J71" s="99">
        <f t="shared" si="18"/>
        <v>27654.706013352992</v>
      </c>
      <c r="K71" s="100">
        <f t="shared" si="19"/>
        <v>6.4313269798495334</v>
      </c>
      <c r="L71" s="100">
        <f t="shared" si="20"/>
        <v>1.9293980939548598</v>
      </c>
      <c r="M71" s="100">
        <f t="shared" si="21"/>
        <v>4.1803625369021962</v>
      </c>
      <c r="N71" s="101">
        <f t="shared" si="38"/>
        <v>65916.374518127515</v>
      </c>
      <c r="P71" s="41">
        <v>2044</v>
      </c>
      <c r="Q71" s="61">
        <v>870.97108420430584</v>
      </c>
      <c r="R71" s="78">
        <v>59172.304976000058</v>
      </c>
      <c r="S71" s="101">
        <v>67.938311672032341</v>
      </c>
      <c r="T71" s="99">
        <f t="shared" si="40"/>
        <v>51</v>
      </c>
      <c r="U71" s="102">
        <f t="shared" si="34"/>
        <v>16.242038216560509</v>
      </c>
      <c r="V71" s="99">
        <f t="shared" si="23"/>
        <v>136.8157550422444</v>
      </c>
      <c r="W71" s="99">
        <f t="shared" si="24"/>
        <v>8095703.5828814032</v>
      </c>
      <c r="X71" s="99">
        <f t="shared" si="13"/>
        <v>8095.7035828814032</v>
      </c>
      <c r="Y71" s="100">
        <f t="shared" si="14"/>
        <v>9.29503140770443</v>
      </c>
      <c r="Z71" s="100">
        <f t="shared" si="25"/>
        <v>2.7885094223113289</v>
      </c>
      <c r="AA71" s="100">
        <f t="shared" si="26"/>
        <v>6.0417704150078793</v>
      </c>
      <c r="AB71" s="101">
        <f t="shared" si="35"/>
        <v>19296.514274976966</v>
      </c>
      <c r="AD71" s="41">
        <v>2044</v>
      </c>
      <c r="AE71" s="60">
        <v>87.269607873817606</v>
      </c>
      <c r="AF71" s="99">
        <v>5378.5664239999978</v>
      </c>
      <c r="AG71" s="101">
        <v>61.631609847231374</v>
      </c>
      <c r="AH71" s="99">
        <f t="shared" si="41"/>
        <v>51</v>
      </c>
      <c r="AI71" s="102">
        <f t="shared" si="36"/>
        <v>16.242038216560509</v>
      </c>
      <c r="AJ71" s="99">
        <f t="shared" si="27"/>
        <v>136.8157550422444</v>
      </c>
      <c r="AK71" s="99">
        <f t="shared" si="28"/>
        <v>735872.62634442421</v>
      </c>
      <c r="AL71" s="99">
        <f t="shared" si="29"/>
        <v>735.87262634442425</v>
      </c>
      <c r="AM71" s="100">
        <f t="shared" si="30"/>
        <v>8.4321752357179864</v>
      </c>
      <c r="AN71" s="100">
        <f t="shared" si="31"/>
        <v>2.5296525707153958</v>
      </c>
      <c r="AO71" s="100">
        <f t="shared" si="32"/>
        <v>5.4809139032166909</v>
      </c>
      <c r="AP71" s="101">
        <f t="shared" si="37"/>
        <v>1753.9891985232523</v>
      </c>
      <c r="AR71" s="17"/>
    </row>
    <row r="72" spans="2:44">
      <c r="B72" s="41">
        <v>2045</v>
      </c>
      <c r="C72" s="61">
        <v>4300</v>
      </c>
      <c r="D72" s="99">
        <v>316180.29976801126</v>
      </c>
      <c r="E72" s="99">
        <v>73.523215515437968</v>
      </c>
      <c r="F72" s="99">
        <f>F71+0.5</f>
        <v>51.5</v>
      </c>
      <c r="G72" s="102">
        <f t="shared" si="33"/>
        <v>16.401273885350317</v>
      </c>
      <c r="H72" s="99">
        <f t="shared" si="16"/>
        <v>89.467273391351469</v>
      </c>
      <c r="I72" s="99">
        <f t="shared" si="17"/>
        <v>28287789.320304126</v>
      </c>
      <c r="J72" s="99">
        <f t="shared" si="18"/>
        <v>28287.789320304124</v>
      </c>
      <c r="K72" s="100">
        <f t="shared" si="19"/>
        <v>6.5785556558846796</v>
      </c>
      <c r="L72" s="100">
        <f t="shared" si="20"/>
        <v>1.9735666967654037</v>
      </c>
      <c r="M72" s="100">
        <f t="shared" si="21"/>
        <v>4.276061176325042</v>
      </c>
      <c r="N72" s="101">
        <f t="shared" si="38"/>
        <v>67425.360234410895</v>
      </c>
      <c r="P72" s="41">
        <v>2045</v>
      </c>
      <c r="Q72" s="61">
        <v>870.97108420430584</v>
      </c>
      <c r="R72" s="78">
        <v>59172.304976000058</v>
      </c>
      <c r="S72" s="101">
        <v>67.938311672032341</v>
      </c>
      <c r="T72" s="99">
        <f>T71+0.5</f>
        <v>51.5</v>
      </c>
      <c r="U72" s="102">
        <f t="shared" si="34"/>
        <v>16.401273885350317</v>
      </c>
      <c r="V72" s="99">
        <f t="shared" si="23"/>
        <v>140.23481808656331</v>
      </c>
      <c r="W72" s="99">
        <f t="shared" si="24"/>
        <v>8298017.4240720132</v>
      </c>
      <c r="X72" s="99">
        <f t="shared" si="13"/>
        <v>8298.0174240720135</v>
      </c>
      <c r="Y72" s="100">
        <f t="shared" si="14"/>
        <v>9.5273167784356971</v>
      </c>
      <c r="Z72" s="100">
        <f t="shared" si="25"/>
        <v>2.8581950335307091</v>
      </c>
      <c r="AA72" s="100">
        <f t="shared" si="26"/>
        <v>6.1927559059832031</v>
      </c>
      <c r="AB72" s="101">
        <f t="shared" si="35"/>
        <v>19778.739431146845</v>
      </c>
      <c r="AD72" s="41">
        <v>2045</v>
      </c>
      <c r="AE72" s="60">
        <v>87.269607873817606</v>
      </c>
      <c r="AF72" s="99">
        <v>5378.5664239999978</v>
      </c>
      <c r="AG72" s="101">
        <v>61.631609847231374</v>
      </c>
      <c r="AH72" s="99">
        <f>AH71+0.5</f>
        <v>51.5</v>
      </c>
      <c r="AI72" s="102">
        <f t="shared" si="36"/>
        <v>16.401273885350317</v>
      </c>
      <c r="AJ72" s="99">
        <f t="shared" si="27"/>
        <v>140.23481808656331</v>
      </c>
      <c r="AK72" s="99">
        <f t="shared" si="28"/>
        <v>754262.28403613705</v>
      </c>
      <c r="AL72" s="99">
        <f t="shared" si="29"/>
        <v>754.26228403613709</v>
      </c>
      <c r="AM72" s="100">
        <f t="shared" si="30"/>
        <v>8.6428975953085363</v>
      </c>
      <c r="AN72" s="100">
        <f t="shared" si="31"/>
        <v>2.5928692785925609</v>
      </c>
      <c r="AO72" s="100">
        <f t="shared" si="32"/>
        <v>5.6178834369505486</v>
      </c>
      <c r="AP72" s="101">
        <f t="shared" si="37"/>
        <v>1797.8218671143345</v>
      </c>
      <c r="AR72" s="17"/>
    </row>
    <row r="73" spans="2:44">
      <c r="B73" s="41">
        <v>2046</v>
      </c>
      <c r="C73" s="61">
        <v>4300</v>
      </c>
      <c r="D73" s="99">
        <v>316180.29976801126</v>
      </c>
      <c r="E73" s="99">
        <v>73.523215515437968</v>
      </c>
      <c r="F73" s="99">
        <f t="shared" si="39"/>
        <v>52</v>
      </c>
      <c r="G73" s="102">
        <f t="shared" si="33"/>
        <v>16.560509554140125</v>
      </c>
      <c r="H73" s="99">
        <f t="shared" si="16"/>
        <v>91.495384766057811</v>
      </c>
      <c r="I73" s="99">
        <f t="shared" si="17"/>
        <v>28929038.182721689</v>
      </c>
      <c r="J73" s="99">
        <f t="shared" si="18"/>
        <v>28929.038182721688</v>
      </c>
      <c r="K73" s="100">
        <f t="shared" si="19"/>
        <v>6.7276832983073689</v>
      </c>
      <c r="L73" s="100">
        <f t="shared" si="20"/>
        <v>2.0183049894922105</v>
      </c>
      <c r="M73" s="100">
        <f t="shared" si="21"/>
        <v>4.3729941438997901</v>
      </c>
      <c r="N73" s="101">
        <f t="shared" si="38"/>
        <v>68953.808960426279</v>
      </c>
      <c r="P73" s="41">
        <v>2046</v>
      </c>
      <c r="Q73" s="61">
        <v>870.97108420430584</v>
      </c>
      <c r="R73" s="78">
        <v>59172.304976000058</v>
      </c>
      <c r="S73" s="101">
        <v>67.938311672032341</v>
      </c>
      <c r="T73" s="99">
        <f t="shared" ref="T73:T74" si="42">T72+0.5</f>
        <v>52</v>
      </c>
      <c r="U73" s="102">
        <f t="shared" si="34"/>
        <v>16.560509554140125</v>
      </c>
      <c r="V73" s="99">
        <f t="shared" si="23"/>
        <v>143.70504843177486</v>
      </c>
      <c r="W73" s="99">
        <f t="shared" si="24"/>
        <v>8503358.9523958415</v>
      </c>
      <c r="X73" s="99">
        <f t="shared" si="13"/>
        <v>8503.3589523958417</v>
      </c>
      <c r="Y73" s="100">
        <f t="shared" si="14"/>
        <v>9.7630783692024252</v>
      </c>
      <c r="Z73" s="100">
        <f t="shared" si="25"/>
        <v>2.9289235107607277</v>
      </c>
      <c r="AA73" s="100">
        <f t="shared" si="26"/>
        <v>6.3460009399815762</v>
      </c>
      <c r="AB73" s="101">
        <f t="shared" si="35"/>
        <v>20268.181230983108</v>
      </c>
      <c r="AD73" s="41">
        <v>2046</v>
      </c>
      <c r="AE73" s="60">
        <v>87.269607873817606</v>
      </c>
      <c r="AF73" s="99">
        <v>5378.5664239999978</v>
      </c>
      <c r="AG73" s="101">
        <v>61.631609847231374</v>
      </c>
      <c r="AH73" s="99">
        <f t="shared" ref="AH73:AH74" si="43">AH72+0.5</f>
        <v>52</v>
      </c>
      <c r="AI73" s="102">
        <f t="shared" si="36"/>
        <v>16.560509554140125</v>
      </c>
      <c r="AJ73" s="99">
        <f t="shared" si="27"/>
        <v>143.70504843177486</v>
      </c>
      <c r="AK73" s="99">
        <f t="shared" si="28"/>
        <v>772927.14845443773</v>
      </c>
      <c r="AL73" s="99">
        <f t="shared" si="29"/>
        <v>772.92714845443777</v>
      </c>
      <c r="AM73" s="100">
        <f t="shared" si="30"/>
        <v>8.8567734780246372</v>
      </c>
      <c r="AN73" s="100">
        <f t="shared" si="31"/>
        <v>2.6570320434073911</v>
      </c>
      <c r="AO73" s="100">
        <f t="shared" si="32"/>
        <v>5.7569027607160139</v>
      </c>
      <c r="AP73" s="101">
        <f t="shared" si="37"/>
        <v>1842.310504698575</v>
      </c>
      <c r="AR73" s="17"/>
    </row>
    <row r="74" spans="2:44">
      <c r="B74" s="41" t="s">
        <v>29</v>
      </c>
      <c r="C74" s="61">
        <v>4300</v>
      </c>
      <c r="D74" s="99">
        <v>316180.29976801126</v>
      </c>
      <c r="E74" s="99">
        <v>73.523215515437968</v>
      </c>
      <c r="F74" s="99">
        <f t="shared" si="39"/>
        <v>52.5</v>
      </c>
      <c r="G74" s="102">
        <f t="shared" si="33"/>
        <v>16.719745222929937</v>
      </c>
      <c r="H74" s="99">
        <f t="shared" si="16"/>
        <v>93.549401743255331</v>
      </c>
      <c r="I74" s="99">
        <f t="shared" si="17"/>
        <v>29578477.886300586</v>
      </c>
      <c r="J74" s="99">
        <f t="shared" si="18"/>
        <v>29578.477886300585</v>
      </c>
      <c r="K74" s="100">
        <f t="shared" si="19"/>
        <v>6.8787157875117639</v>
      </c>
      <c r="L74" s="100">
        <f t="shared" si="20"/>
        <v>2.0636147362535291</v>
      </c>
      <c r="M74" s="100">
        <f t="shared" si="21"/>
        <v>4.4711652618826463</v>
      </c>
      <c r="N74" s="101">
        <f>C74*M74*3.667*(9/12)</f>
        <v>52876.335724418816</v>
      </c>
      <c r="P74" s="41" t="s">
        <v>29</v>
      </c>
      <c r="Q74" s="61">
        <v>870.97108420430584</v>
      </c>
      <c r="R74" s="78">
        <v>59172.304976000058</v>
      </c>
      <c r="S74" s="101">
        <v>67.938311672032341</v>
      </c>
      <c r="T74" s="99">
        <f t="shared" si="42"/>
        <v>52.5</v>
      </c>
      <c r="U74" s="102">
        <f t="shared" si="34"/>
        <v>16.719745222929937</v>
      </c>
      <c r="V74" s="99">
        <f t="shared" si="23"/>
        <v>147.22670876999288</v>
      </c>
      <c r="W74" s="99">
        <f t="shared" si="24"/>
        <v>8711743.7119507603</v>
      </c>
      <c r="X74" s="99">
        <f t="shared" si="13"/>
        <v>8711.7437119507595</v>
      </c>
      <c r="Y74" s="100">
        <f t="shared" si="14"/>
        <v>10.002334026863313</v>
      </c>
      <c r="Z74" s="100">
        <f t="shared" si="25"/>
        <v>3.0007002080589937</v>
      </c>
      <c r="AA74" s="100">
        <f t="shared" si="26"/>
        <v>6.5015171174611535</v>
      </c>
      <c r="AB74" s="101">
        <f>Q74*AA74*3.667*(9/12)</f>
        <v>15573.657543465175</v>
      </c>
      <c r="AD74" s="41" t="s">
        <v>29</v>
      </c>
      <c r="AE74" s="60">
        <v>87.269607873817606</v>
      </c>
      <c r="AF74" s="99">
        <v>5378.5664239999978</v>
      </c>
      <c r="AG74" s="101">
        <v>61.631609847231374</v>
      </c>
      <c r="AH74" s="99">
        <f t="shared" si="43"/>
        <v>52.5</v>
      </c>
      <c r="AI74" s="102">
        <f t="shared" si="36"/>
        <v>16.719745222929937</v>
      </c>
      <c r="AJ74" s="99">
        <f t="shared" si="27"/>
        <v>147.22670876999288</v>
      </c>
      <c r="AK74" s="99">
        <f t="shared" si="28"/>
        <v>791868.63250630978</v>
      </c>
      <c r="AL74" s="99">
        <f t="shared" si="29"/>
        <v>791.86863250630972</v>
      </c>
      <c r="AM74" s="100">
        <f t="shared" si="30"/>
        <v>9.0738190740041595</v>
      </c>
      <c r="AN74" s="100">
        <f t="shared" si="31"/>
        <v>2.722145722201248</v>
      </c>
      <c r="AO74" s="100">
        <f t="shared" si="32"/>
        <v>5.8979823981027035</v>
      </c>
      <c r="AP74" s="101">
        <f>AE74*AO74*3.667*(9/12)</f>
        <v>1415.5938592578107</v>
      </c>
      <c r="AR74" s="17"/>
    </row>
  </sheetData>
  <mergeCells count="20">
    <mergeCell ref="B42:N42"/>
    <mergeCell ref="P42:AB42"/>
    <mergeCell ref="A39:AP40"/>
    <mergeCell ref="AD42:AP42"/>
    <mergeCell ref="I8:I9"/>
    <mergeCell ref="H8:H9"/>
    <mergeCell ref="D14:F14"/>
    <mergeCell ref="A22:E25"/>
    <mergeCell ref="K18:K20"/>
    <mergeCell ref="L18:L20"/>
    <mergeCell ref="G15:I15"/>
    <mergeCell ref="G17:I17"/>
    <mergeCell ref="G22:I22"/>
    <mergeCell ref="M18:M20"/>
    <mergeCell ref="O3:AD3"/>
    <mergeCell ref="O4:R4"/>
    <mergeCell ref="U4:X4"/>
    <mergeCell ref="O1:AF1"/>
    <mergeCell ref="O2:AD2"/>
    <mergeCell ref="Y4:AB4"/>
  </mergeCells>
  <phoneticPr fontId="34" type="noConversion"/>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AE96-4FAC-4684-B968-A476891A4BF7}">
  <dimension ref="A1:BD86"/>
  <sheetViews>
    <sheetView topLeftCell="AA28" zoomScale="85" zoomScaleNormal="85" workbookViewId="0">
      <selection activeCell="AB37" sqref="AB37"/>
    </sheetView>
  </sheetViews>
  <sheetFormatPr defaultColWidth="4.28515625" defaultRowHeight="13.9"/>
  <cols>
    <col min="1" max="1" width="17.5703125" style="1" customWidth="1"/>
    <col min="2" max="2" width="10.140625" style="1" customWidth="1"/>
    <col min="3" max="3" width="34.28515625" style="1" customWidth="1"/>
    <col min="4" max="4" width="15.5703125" style="1" customWidth="1"/>
    <col min="5" max="5" width="21.140625" style="1" customWidth="1"/>
    <col min="6" max="6" width="13.5703125" style="1" customWidth="1"/>
    <col min="7" max="7" width="8.7109375" style="3" customWidth="1"/>
    <col min="8" max="8" width="13.5703125" style="3" customWidth="1"/>
    <col min="9" max="9" width="15.140625" style="3" customWidth="1"/>
    <col min="10" max="10" width="9.28515625" style="3" customWidth="1"/>
    <col min="11" max="11" width="8" style="3" customWidth="1"/>
    <col min="12" max="12" width="11.140625" style="3" customWidth="1"/>
    <col min="13" max="13" width="10" style="3" customWidth="1"/>
    <col min="14" max="14" width="8.28515625" style="4" customWidth="1"/>
    <col min="15" max="15" width="11" style="3" customWidth="1"/>
    <col min="16" max="17" width="10.28515625" style="3" customWidth="1"/>
    <col min="18" max="18" width="16.28515625" style="3" customWidth="1"/>
    <col min="19" max="19" width="11.28515625" style="3" customWidth="1"/>
    <col min="20" max="20" width="13.140625" style="3" customWidth="1"/>
    <col min="21" max="21" width="12" style="3" customWidth="1"/>
    <col min="22" max="22" width="10.85546875" style="4" customWidth="1"/>
    <col min="23" max="23" width="13.5703125" style="3" customWidth="1"/>
    <col min="24" max="24" width="11.5703125" style="1" customWidth="1"/>
    <col min="25" max="25" width="12.28515625" style="1" customWidth="1"/>
    <col min="26" max="26" width="12" style="1" customWidth="1"/>
    <col min="27" max="27" width="11.85546875" style="1" customWidth="1"/>
    <col min="28" max="28" width="16.5703125" style="1" customWidth="1"/>
    <col min="29" max="29" width="15.7109375" style="1" bestFit="1" customWidth="1"/>
    <col min="30" max="30" width="19.5703125" style="1" customWidth="1"/>
    <col min="31" max="31" width="21.7109375" style="1" customWidth="1"/>
    <col min="32" max="34" width="4.28515625" style="1"/>
    <col min="35" max="35" width="7" style="1" bestFit="1" customWidth="1"/>
    <col min="36" max="16384" width="4.28515625" style="1"/>
  </cols>
  <sheetData>
    <row r="1" spans="1:56" ht="15.75" customHeight="1">
      <c r="F1" s="2" t="s">
        <v>45</v>
      </c>
      <c r="O1" s="2" t="s">
        <v>46</v>
      </c>
    </row>
    <row r="2" spans="1:56" ht="15.75" customHeight="1" thickBot="1">
      <c r="A2" s="2" t="s">
        <v>47</v>
      </c>
      <c r="C2" s="2" t="s">
        <v>48</v>
      </c>
      <c r="E2" s="2"/>
      <c r="F2" s="2"/>
      <c r="G2" s="5"/>
      <c r="H2" s="5"/>
      <c r="I2" s="5"/>
      <c r="J2" s="5"/>
      <c r="K2" s="5"/>
      <c r="L2" s="5"/>
      <c r="M2" s="5"/>
      <c r="O2" s="5"/>
      <c r="P2" s="5"/>
      <c r="Q2" s="5"/>
      <c r="R2" s="5"/>
      <c r="S2" s="5"/>
      <c r="T2" s="5"/>
      <c r="U2" s="5"/>
      <c r="W2" s="5"/>
      <c r="Y2" s="1" t="s">
        <v>49</v>
      </c>
    </row>
    <row r="3" spans="1:56" ht="45.6" thickBot="1">
      <c r="E3" s="85" t="s">
        <v>6</v>
      </c>
      <c r="F3" s="85" t="s">
        <v>50</v>
      </c>
      <c r="G3" s="26" t="s">
        <v>51</v>
      </c>
      <c r="H3" s="26" t="s">
        <v>52</v>
      </c>
      <c r="I3" s="26" t="s">
        <v>53</v>
      </c>
      <c r="J3" s="26" t="s">
        <v>54</v>
      </c>
      <c r="K3" s="26" t="s">
        <v>55</v>
      </c>
      <c r="L3" s="26" t="s">
        <v>56</v>
      </c>
      <c r="M3" s="86" t="s">
        <v>57</v>
      </c>
      <c r="N3" s="30"/>
      <c r="O3" s="26" t="s">
        <v>58</v>
      </c>
      <c r="P3" s="26" t="s">
        <v>59</v>
      </c>
      <c r="Q3" s="26" t="s">
        <v>60</v>
      </c>
      <c r="R3" s="26" t="s">
        <v>61</v>
      </c>
      <c r="S3" s="26" t="s">
        <v>62</v>
      </c>
      <c r="T3" s="26" t="s">
        <v>63</v>
      </c>
      <c r="U3" s="86" t="s">
        <v>64</v>
      </c>
      <c r="V3" s="29"/>
      <c r="W3" s="26" t="s">
        <v>65</v>
      </c>
      <c r="X3" s="26" t="s">
        <v>66</v>
      </c>
      <c r="Y3" s="92">
        <v>0.1</v>
      </c>
      <c r="Z3" s="92" t="s">
        <v>67</v>
      </c>
      <c r="AB3" s="6">
        <f>SUM(R35,T35)-SUM(L35,J35)</f>
        <v>5077550.7005170509</v>
      </c>
      <c r="AC3" s="1" t="s">
        <v>68</v>
      </c>
      <c r="AD3" s="94" t="s">
        <v>6</v>
      </c>
      <c r="AE3" s="94" t="s">
        <v>69</v>
      </c>
    </row>
    <row r="4" spans="1:56" ht="15.75" customHeight="1" thickBot="1">
      <c r="A4" s="74" t="s">
        <v>70</v>
      </c>
      <c r="B4" s="71">
        <v>0.38</v>
      </c>
      <c r="C4" s="163" t="s">
        <v>71</v>
      </c>
      <c r="D4" s="67"/>
      <c r="E4" s="37" t="s">
        <v>16</v>
      </c>
      <c r="F4" s="35">
        <f>57516*0.9</f>
        <v>51764.4</v>
      </c>
      <c r="G4" s="32">
        <f>F4*$B$4*3/12</f>
        <v>4917.6180000000004</v>
      </c>
      <c r="H4" s="32">
        <f>0*(3/12)</f>
        <v>0</v>
      </c>
      <c r="I4" s="32">
        <f>F4*$B$10*(3/12)</f>
        <v>0</v>
      </c>
      <c r="J4" s="32">
        <f>0*(3/12)</f>
        <v>0</v>
      </c>
      <c r="K4" s="32">
        <v>0</v>
      </c>
      <c r="L4" s="32">
        <f>0*(3/12)</f>
        <v>0</v>
      </c>
      <c r="M4" s="87">
        <f>G4+K4+I4-J4</f>
        <v>4917.6180000000004</v>
      </c>
      <c r="N4" s="30"/>
      <c r="O4" s="32">
        <f>SUM('SOC_AGRO-FOREST_CALC'!Q6,'SOC_AGRO-FOREST_CALC'!V6,'SOC_AGRO-FOREST_CALC'!AA6)</f>
        <v>4425.8562000000002</v>
      </c>
      <c r="P4" s="32">
        <f>0*(3/12)</f>
        <v>0</v>
      </c>
      <c r="Q4" s="32">
        <f>F4*$B$11*(3/12)</f>
        <v>0</v>
      </c>
      <c r="R4" s="33">
        <f>SUM('SOC_AGRO-FOREST_CALC'!N44,'SOC_AGRO-FOREST_CALC'!AP44)</f>
        <v>0</v>
      </c>
      <c r="S4" s="32">
        <f>F4*$B$15*(3/12)</f>
        <v>0</v>
      </c>
      <c r="T4" s="32">
        <f>'SOC_AGRO-FOREST_CALC'!R6+'SOC_AGRO-FOREST_CALC'!W6+'SOC_AGRO-FOREST_CALC'!AB6</f>
        <v>27783.894645</v>
      </c>
      <c r="U4" s="27">
        <f>O4+S4+P4+Q4-R4-T4</f>
        <v>-23358.038444999998</v>
      </c>
      <c r="V4" s="29"/>
      <c r="W4" s="27">
        <f>0</f>
        <v>0</v>
      </c>
      <c r="X4" s="28">
        <f>M4-U4-W4</f>
        <v>28275.656445000001</v>
      </c>
      <c r="Y4" s="34">
        <f>X4*$Y$3</f>
        <v>2827.5656445000004</v>
      </c>
      <c r="Z4" s="79">
        <f>X4-Y4</f>
        <v>25448.090800500002</v>
      </c>
      <c r="AB4" s="7">
        <f>Y35</f>
        <v>514197.14963170525</v>
      </c>
      <c r="AC4" s="1" t="s">
        <v>72</v>
      </c>
      <c r="AD4" s="95" t="s">
        <v>73</v>
      </c>
      <c r="AE4" s="103">
        <f>X4</f>
        <v>28275.656445000001</v>
      </c>
    </row>
    <row r="5" spans="1:56" ht="15.75" customHeight="1" thickBot="1">
      <c r="A5" s="74" t="s">
        <v>74</v>
      </c>
      <c r="B5" s="71">
        <v>0.38</v>
      </c>
      <c r="C5" s="163"/>
      <c r="D5" s="67"/>
      <c r="E5" s="41">
        <v>2018</v>
      </c>
      <c r="F5" s="35">
        <f>57516*0.9</f>
        <v>51764.4</v>
      </c>
      <c r="G5" s="32">
        <f>F5*$B$4</f>
        <v>19670.472000000002</v>
      </c>
      <c r="H5" s="32">
        <f>0</f>
        <v>0</v>
      </c>
      <c r="I5" s="32">
        <f>F5*$B$10</f>
        <v>0</v>
      </c>
      <c r="J5" s="32">
        <f>0</f>
        <v>0</v>
      </c>
      <c r="K5" s="32">
        <f t="shared" ref="K5:K34" si="0">F5*$B$14</f>
        <v>0</v>
      </c>
      <c r="L5" s="32">
        <f>0</f>
        <v>0</v>
      </c>
      <c r="M5" s="87">
        <f t="shared" ref="M5:M34" si="1">G5+K5+I5-J5</f>
        <v>19670.472000000002</v>
      </c>
      <c r="N5" s="30"/>
      <c r="O5" s="32">
        <f>SUM('SOC_AGRO-FOREST_CALC'!Q7,'SOC_AGRO-FOREST_CALC'!V7,'SOC_AGRO-FOREST_CALC'!AA7)</f>
        <v>17703.424800000001</v>
      </c>
      <c r="P5" s="32">
        <f>0</f>
        <v>0</v>
      </c>
      <c r="Q5" s="32">
        <f t="shared" ref="Q5:Q34" si="2">F5*$B$11*(3/12)</f>
        <v>0</v>
      </c>
      <c r="R5" s="33">
        <f>SUM('SOC_AGRO-FOREST_CALC'!N45,'SOC_AGRO-FOREST_CALC'!AP45)</f>
        <v>912.77044393151948</v>
      </c>
      <c r="S5" s="32">
        <f t="shared" ref="S5:S22" si="3">F5*$B$15</f>
        <v>0</v>
      </c>
      <c r="T5" s="32">
        <f>'SOC_AGRO-FOREST_CALC'!R7+'SOC_AGRO-FOREST_CALC'!W7+'SOC_AGRO-FOREST_CALC'!AB7</f>
        <v>111135.57858</v>
      </c>
      <c r="U5" s="27">
        <f t="shared" ref="U5:U22" si="4">O5+S5+P5+Q5-R5-T5</f>
        <v>-94344.924223931521</v>
      </c>
      <c r="V5" s="29"/>
      <c r="W5" s="27">
        <f>0</f>
        <v>0</v>
      </c>
      <c r="X5" s="28">
        <f>M5-U5-W5</f>
        <v>114015.39622393152</v>
      </c>
      <c r="Y5" s="34">
        <f t="shared" ref="Y5:Y22" si="5">X5*$Y$3</f>
        <v>11401.539622393153</v>
      </c>
      <c r="Z5" s="79">
        <f>X5-Y5</f>
        <v>102613.85660153837</v>
      </c>
      <c r="AB5" s="7">
        <f>X35-AB4</f>
        <v>4627774.3466853462</v>
      </c>
      <c r="AC5" s="1" t="s">
        <v>75</v>
      </c>
      <c r="AD5" s="96">
        <v>2018</v>
      </c>
      <c r="AE5" s="103">
        <f t="shared" ref="AE5:AE34" si="6">X5</f>
        <v>114015.39622393152</v>
      </c>
    </row>
    <row r="6" spans="1:56" ht="15.75" customHeight="1" thickBot="1">
      <c r="A6" s="70" t="s">
        <v>76</v>
      </c>
      <c r="B6" s="69">
        <f>AVERAGE(B4:B5)</f>
        <v>0.38</v>
      </c>
      <c r="C6" s="163"/>
      <c r="D6" s="67"/>
      <c r="E6" s="41">
        <v>2019</v>
      </c>
      <c r="F6" s="35">
        <f>57516*0.9</f>
        <v>51764.4</v>
      </c>
      <c r="G6" s="32">
        <f t="shared" ref="G6:G33" si="7">F6*$B$4</f>
        <v>19670.472000000002</v>
      </c>
      <c r="H6" s="32">
        <f>0</f>
        <v>0</v>
      </c>
      <c r="I6" s="32">
        <f>F6*$B$10</f>
        <v>0</v>
      </c>
      <c r="J6" s="32">
        <f>0</f>
        <v>0</v>
      </c>
      <c r="K6" s="32">
        <f t="shared" si="0"/>
        <v>0</v>
      </c>
      <c r="L6" s="32">
        <f>0</f>
        <v>0</v>
      </c>
      <c r="M6" s="87">
        <f t="shared" si="1"/>
        <v>19670.472000000002</v>
      </c>
      <c r="N6" s="30"/>
      <c r="O6" s="32">
        <f>SUM('SOC_AGRO-FOREST_CALC'!Q8,'SOC_AGRO-FOREST_CALC'!V8,'SOC_AGRO-FOREST_CALC'!AA8)</f>
        <v>17703.424800000001</v>
      </c>
      <c r="P6" s="32">
        <f>0</f>
        <v>0</v>
      </c>
      <c r="Q6" s="32">
        <f t="shared" si="2"/>
        <v>0</v>
      </c>
      <c r="R6" s="33">
        <f>SUM('SOC_AGRO-FOREST_CALC'!N46,'SOC_AGRO-FOREST_CALC'!AP46)</f>
        <v>4570.4077137698423</v>
      </c>
      <c r="S6" s="32">
        <f t="shared" si="3"/>
        <v>0</v>
      </c>
      <c r="T6" s="32">
        <f>'SOC_AGRO-FOREST_CALC'!R8+'SOC_AGRO-FOREST_CALC'!W8+'SOC_AGRO-FOREST_CALC'!AB8</f>
        <v>111135.57858</v>
      </c>
      <c r="U6" s="27">
        <f t="shared" si="4"/>
        <v>-98002.561493769841</v>
      </c>
      <c r="V6" s="29"/>
      <c r="W6" s="27">
        <f>0</f>
        <v>0</v>
      </c>
      <c r="X6" s="28">
        <f t="shared" ref="X6:X21" si="8">M6-U6-W6</f>
        <v>117673.03349376985</v>
      </c>
      <c r="Y6" s="34">
        <f>X6*$Y$3</f>
        <v>11767.303349376985</v>
      </c>
      <c r="Z6" s="79">
        <f t="shared" ref="Z6:Z21" si="9">X6-Y6</f>
        <v>105905.73014439286</v>
      </c>
      <c r="AD6" s="96">
        <v>2019</v>
      </c>
      <c r="AE6" s="103">
        <f t="shared" si="6"/>
        <v>117673.03349376985</v>
      </c>
    </row>
    <row r="7" spans="1:56" ht="15.75" customHeight="1" thickBot="1">
      <c r="E7" s="41">
        <v>2020</v>
      </c>
      <c r="F7" s="35">
        <f t="shared" ref="F7:F8" si="10">57516*0.9</f>
        <v>51764.4</v>
      </c>
      <c r="G7" s="32">
        <f t="shared" si="7"/>
        <v>19670.472000000002</v>
      </c>
      <c r="H7" s="32">
        <f>0</f>
        <v>0</v>
      </c>
      <c r="I7" s="32">
        <f t="shared" ref="I7:I34" si="11">F7*$B$10</f>
        <v>0</v>
      </c>
      <c r="J7" s="32">
        <f>0</f>
        <v>0</v>
      </c>
      <c r="K7" s="32">
        <f t="shared" si="0"/>
        <v>0</v>
      </c>
      <c r="L7" s="32">
        <f>0</f>
        <v>0</v>
      </c>
      <c r="M7" s="87">
        <f t="shared" si="1"/>
        <v>19670.472000000002</v>
      </c>
      <c r="N7" s="30"/>
      <c r="O7" s="32">
        <f>SUM('SOC_AGRO-FOREST_CALC'!Q9,'SOC_AGRO-FOREST_CALC'!V9,'SOC_AGRO-FOREST_CALC'!AA9)</f>
        <v>17703.424800000001</v>
      </c>
      <c r="P7" s="32">
        <f>0</f>
        <v>0</v>
      </c>
      <c r="Q7" s="32">
        <f t="shared" si="2"/>
        <v>0</v>
      </c>
      <c r="R7" s="33">
        <f>SUM('SOC_AGRO-FOREST_CALC'!N47,'SOC_AGRO-FOREST_CALC'!AP47)</f>
        <v>11729.369456249529</v>
      </c>
      <c r="S7" s="32">
        <f t="shared" si="3"/>
        <v>0</v>
      </c>
      <c r="T7" s="32">
        <f>'SOC_AGRO-FOREST_CALC'!R9+'SOC_AGRO-FOREST_CALC'!W9+'SOC_AGRO-FOREST_CALC'!AB9</f>
        <v>111135.57858</v>
      </c>
      <c r="U7" s="27">
        <f t="shared" si="4"/>
        <v>-105161.52323624953</v>
      </c>
      <c r="V7" s="29"/>
      <c r="W7" s="27">
        <f>0</f>
        <v>0</v>
      </c>
      <c r="X7" s="28">
        <f t="shared" si="8"/>
        <v>124831.99523624952</v>
      </c>
      <c r="Y7" s="34">
        <f t="shared" si="5"/>
        <v>12483.199523624953</v>
      </c>
      <c r="Z7" s="79">
        <f t="shared" si="9"/>
        <v>112348.79571262457</v>
      </c>
      <c r="AD7" s="96">
        <v>2020</v>
      </c>
      <c r="AE7" s="103">
        <f t="shared" si="6"/>
        <v>124831.99523624952</v>
      </c>
    </row>
    <row r="8" spans="1:56" ht="15.75" customHeight="1" thickBot="1">
      <c r="B8" s="8"/>
      <c r="D8" s="9"/>
      <c r="E8" s="41">
        <v>2021</v>
      </c>
      <c r="F8" s="35">
        <f t="shared" si="10"/>
        <v>51764.4</v>
      </c>
      <c r="G8" s="32">
        <f t="shared" si="7"/>
        <v>19670.472000000002</v>
      </c>
      <c r="H8" s="32">
        <f>0</f>
        <v>0</v>
      </c>
      <c r="I8" s="32">
        <f>F8*$B$10</f>
        <v>0</v>
      </c>
      <c r="J8" s="32">
        <f>0</f>
        <v>0</v>
      </c>
      <c r="K8" s="32">
        <f t="shared" si="0"/>
        <v>0</v>
      </c>
      <c r="L8" s="32">
        <f>0</f>
        <v>0</v>
      </c>
      <c r="M8" s="87">
        <f t="shared" si="1"/>
        <v>19670.472000000002</v>
      </c>
      <c r="N8" s="30"/>
      <c r="O8" s="32">
        <f>SUM('SOC_AGRO-FOREST_CALC'!Q10,'SOC_AGRO-FOREST_CALC'!V10,'SOC_AGRO-FOREST_CALC'!AA10)</f>
        <v>17703.424800000001</v>
      </c>
      <c r="P8" s="32">
        <f>0</f>
        <v>0</v>
      </c>
      <c r="Q8" s="32">
        <f t="shared" si="2"/>
        <v>0</v>
      </c>
      <c r="R8" s="33">
        <f>SUM('SOC_AGRO-FOREST_CALC'!N48,'SOC_AGRO-FOREST_CALC'!AP48)</f>
        <v>22894.585698327071</v>
      </c>
      <c r="S8" s="32">
        <f t="shared" si="3"/>
        <v>0</v>
      </c>
      <c r="T8" s="32">
        <f>'SOC_AGRO-FOREST_CALC'!R10+'SOC_AGRO-FOREST_CALC'!W10+'SOC_AGRO-FOREST_CALC'!AB10</f>
        <v>111135.57858</v>
      </c>
      <c r="U8" s="27">
        <f t="shared" si="4"/>
        <v>-116326.73947832707</v>
      </c>
      <c r="V8" s="29"/>
      <c r="W8" s="27">
        <f>0</f>
        <v>0</v>
      </c>
      <c r="X8" s="28">
        <f t="shared" si="8"/>
        <v>135997.21147832708</v>
      </c>
      <c r="Y8" s="34">
        <f t="shared" si="5"/>
        <v>13599.721147832708</v>
      </c>
      <c r="Z8" s="79">
        <f t="shared" si="9"/>
        <v>122397.49033049437</v>
      </c>
      <c r="AD8" s="96">
        <v>2021</v>
      </c>
      <c r="AE8" s="103">
        <f t="shared" si="6"/>
        <v>135997.21147832708</v>
      </c>
    </row>
    <row r="9" spans="1:56" s="10" customFormat="1" ht="15.75" customHeight="1" thickBot="1">
      <c r="A9" s="9"/>
      <c r="B9" s="9"/>
      <c r="C9" s="9"/>
      <c r="D9" s="1"/>
      <c r="E9" s="41">
        <v>2022</v>
      </c>
      <c r="F9" s="35">
        <f>57516*0.9</f>
        <v>51764.4</v>
      </c>
      <c r="G9" s="32">
        <f t="shared" si="7"/>
        <v>19670.472000000002</v>
      </c>
      <c r="H9" s="32">
        <f>0</f>
        <v>0</v>
      </c>
      <c r="I9" s="32">
        <f t="shared" si="11"/>
        <v>0</v>
      </c>
      <c r="J9" s="32">
        <f>0</f>
        <v>0</v>
      </c>
      <c r="K9" s="32">
        <f t="shared" si="0"/>
        <v>0</v>
      </c>
      <c r="L9" s="32">
        <f>0</f>
        <v>0</v>
      </c>
      <c r="M9" s="87">
        <f t="shared" si="1"/>
        <v>19670.472000000002</v>
      </c>
      <c r="N9" s="30"/>
      <c r="O9" s="32">
        <f>SUM('SOC_AGRO-FOREST_CALC'!Q11,'SOC_AGRO-FOREST_CALC'!V11,'SOC_AGRO-FOREST_CALC'!AA11)</f>
        <v>17703.424800000001</v>
      </c>
      <c r="P9" s="32">
        <f>0</f>
        <v>0</v>
      </c>
      <c r="Q9" s="32">
        <f t="shared" si="2"/>
        <v>0</v>
      </c>
      <c r="R9" s="33">
        <f>SUM('SOC_AGRO-FOREST_CALC'!N49,'SOC_AGRO-FOREST_CALC'!AP49)</f>
        <v>38464.015470901395</v>
      </c>
      <c r="S9" s="32">
        <f t="shared" si="3"/>
        <v>0</v>
      </c>
      <c r="T9" s="32">
        <f>'SOC_AGRO-FOREST_CALC'!R11+'SOC_AGRO-FOREST_CALC'!W11+'SOC_AGRO-FOREST_CALC'!AB11</f>
        <v>111135.57858</v>
      </c>
      <c r="U9" s="27">
        <f t="shared" si="4"/>
        <v>-131896.16925090138</v>
      </c>
      <c r="V9" s="29"/>
      <c r="W9" s="27">
        <f>0</f>
        <v>0</v>
      </c>
      <c r="X9" s="28">
        <f t="shared" si="8"/>
        <v>151566.64125090139</v>
      </c>
      <c r="Y9" s="34">
        <f t="shared" si="5"/>
        <v>15156.664125090139</v>
      </c>
      <c r="Z9" s="79">
        <f t="shared" si="9"/>
        <v>136409.97712581125</v>
      </c>
      <c r="AA9" s="1"/>
      <c r="AB9" s="1"/>
      <c r="AC9" s="1"/>
      <c r="AD9" s="96">
        <v>2022</v>
      </c>
      <c r="AE9" s="103">
        <f t="shared" si="6"/>
        <v>151566.64125090139</v>
      </c>
      <c r="AF9" s="1"/>
      <c r="AG9" s="1"/>
      <c r="AH9" s="1"/>
      <c r="AI9" s="1"/>
      <c r="AJ9" s="1"/>
      <c r="AK9" s="1"/>
      <c r="AL9" s="1"/>
      <c r="AM9" s="1"/>
      <c r="AN9" s="1"/>
      <c r="AO9" s="1"/>
      <c r="AP9" s="1"/>
      <c r="AQ9" s="1"/>
      <c r="AR9" s="1"/>
      <c r="AS9" s="1"/>
      <c r="AT9" s="1"/>
      <c r="AU9" s="1"/>
      <c r="AV9" s="1"/>
      <c r="AW9" s="1"/>
      <c r="AX9" s="1"/>
      <c r="AY9" s="1"/>
      <c r="AZ9" s="1"/>
      <c r="BA9" s="1"/>
      <c r="BB9" s="1"/>
      <c r="BC9" s="1"/>
      <c r="BD9" s="1"/>
    </row>
    <row r="10" spans="1:56" ht="15.75" customHeight="1" thickBot="1">
      <c r="A10" s="75" t="s">
        <v>77</v>
      </c>
      <c r="B10" s="72">
        <v>0</v>
      </c>
      <c r="D10" s="9"/>
      <c r="E10" s="41">
        <v>2023</v>
      </c>
      <c r="F10" s="36">
        <v>57516</v>
      </c>
      <c r="G10" s="32">
        <f t="shared" si="7"/>
        <v>21856.080000000002</v>
      </c>
      <c r="H10" s="32">
        <f>0</f>
        <v>0</v>
      </c>
      <c r="I10" s="32">
        <f t="shared" si="11"/>
        <v>0</v>
      </c>
      <c r="J10" s="32">
        <f>0</f>
        <v>0</v>
      </c>
      <c r="K10" s="32">
        <f t="shared" si="0"/>
        <v>0</v>
      </c>
      <c r="L10" s="32">
        <f>0</f>
        <v>0</v>
      </c>
      <c r="M10" s="87">
        <f t="shared" si="1"/>
        <v>21856.080000000002</v>
      </c>
      <c r="N10" s="30"/>
      <c r="O10" s="32">
        <f>SUM('SOC_AGRO-FOREST_CALC'!Q12,'SOC_AGRO-FOREST_CALC'!V12,'SOC_AGRO-FOREST_CALC'!AA12)</f>
        <v>19670.472000000002</v>
      </c>
      <c r="P10" s="32">
        <f>0</f>
        <v>0</v>
      </c>
      <c r="Q10" s="32">
        <f t="shared" si="2"/>
        <v>0</v>
      </c>
      <c r="R10" s="33">
        <f>SUM('SOC_AGRO-FOREST_CALC'!N50,'SOC_AGRO-FOREST_CALC'!AP50)</f>
        <v>39591.237020133412</v>
      </c>
      <c r="S10" s="32">
        <f t="shared" si="3"/>
        <v>0</v>
      </c>
      <c r="T10" s="32">
        <f>'SOC_AGRO-FOREST_CALC'!R12+'SOC_AGRO-FOREST_CALC'!W12+'SOC_AGRO-FOREST_CALC'!AB12</f>
        <v>123483.97619999999</v>
      </c>
      <c r="U10" s="27">
        <f t="shared" si="4"/>
        <v>-143404.74122013341</v>
      </c>
      <c r="V10" s="29"/>
      <c r="W10" s="27">
        <f>0</f>
        <v>0</v>
      </c>
      <c r="X10" s="28">
        <f t="shared" si="8"/>
        <v>165260.8212201334</v>
      </c>
      <c r="Y10" s="34">
        <f t="shared" si="5"/>
        <v>16526.08212201334</v>
      </c>
      <c r="Z10" s="79">
        <f t="shared" si="9"/>
        <v>148734.73909812004</v>
      </c>
      <c r="AD10" s="96">
        <v>2023</v>
      </c>
      <c r="AE10" s="103">
        <f>X10</f>
        <v>165260.8212201334</v>
      </c>
    </row>
    <row r="11" spans="1:56" ht="15.75" customHeight="1" thickBot="1">
      <c r="A11" s="75" t="s">
        <v>78</v>
      </c>
      <c r="B11" s="71">
        <v>0</v>
      </c>
      <c r="D11" s="9"/>
      <c r="E11" s="41">
        <v>2024</v>
      </c>
      <c r="F11" s="36">
        <v>57516</v>
      </c>
      <c r="G11" s="32">
        <f t="shared" si="7"/>
        <v>21856.080000000002</v>
      </c>
      <c r="H11" s="32">
        <f>0</f>
        <v>0</v>
      </c>
      <c r="I11" s="32">
        <f t="shared" si="11"/>
        <v>0</v>
      </c>
      <c r="J11" s="32">
        <f>0</f>
        <v>0</v>
      </c>
      <c r="K11" s="32">
        <f t="shared" si="0"/>
        <v>0</v>
      </c>
      <c r="L11" s="32">
        <f>0</f>
        <v>0</v>
      </c>
      <c r="M11" s="87">
        <f t="shared" si="1"/>
        <v>21856.080000000002</v>
      </c>
      <c r="N11" s="30"/>
      <c r="O11" s="32">
        <f>SUM('SOC_AGRO-FOREST_CALC'!Q13,'SOC_AGRO-FOREST_CALC'!V13,'SOC_AGRO-FOREST_CALC'!AA13)</f>
        <v>19670.472000000002</v>
      </c>
      <c r="P11" s="32">
        <f>0</f>
        <v>0</v>
      </c>
      <c r="Q11" s="32">
        <f t="shared" si="2"/>
        <v>0</v>
      </c>
      <c r="R11" s="33">
        <f>SUM('SOC_AGRO-FOREST_CALC'!N51,'SOC_AGRO-FOREST_CALC'!AP51)</f>
        <v>40737.058676221161</v>
      </c>
      <c r="S11" s="32">
        <f t="shared" si="3"/>
        <v>0</v>
      </c>
      <c r="T11" s="32">
        <f>'SOC_AGRO-FOREST_CALC'!R13+'SOC_AGRO-FOREST_CALC'!W13+'SOC_AGRO-FOREST_CALC'!AB13</f>
        <v>123483.97619999999</v>
      </c>
      <c r="U11" s="27">
        <f t="shared" si="4"/>
        <v>-144550.56287622114</v>
      </c>
      <c r="V11" s="29"/>
      <c r="W11" s="27">
        <f>0</f>
        <v>0</v>
      </c>
      <c r="X11" s="28">
        <f t="shared" si="8"/>
        <v>166406.64287622116</v>
      </c>
      <c r="Y11" s="34">
        <f t="shared" si="5"/>
        <v>16640.664287622116</v>
      </c>
      <c r="Z11" s="79">
        <f t="shared" si="9"/>
        <v>149765.97858859904</v>
      </c>
      <c r="AD11" s="96">
        <v>2024</v>
      </c>
      <c r="AE11" s="103">
        <f t="shared" si="6"/>
        <v>166406.64287622116</v>
      </c>
    </row>
    <row r="12" spans="1:56" ht="15.75" customHeight="1" thickBot="1">
      <c r="A12" s="70" t="s">
        <v>76</v>
      </c>
      <c r="B12" s="69">
        <f>AVERAGE(B10:B11)</f>
        <v>0</v>
      </c>
      <c r="D12" s="9"/>
      <c r="E12" s="41">
        <v>2025</v>
      </c>
      <c r="F12" s="36">
        <v>57516</v>
      </c>
      <c r="G12" s="32">
        <f t="shared" si="7"/>
        <v>21856.080000000002</v>
      </c>
      <c r="H12" s="32">
        <f>0</f>
        <v>0</v>
      </c>
      <c r="I12" s="32">
        <f t="shared" si="11"/>
        <v>0</v>
      </c>
      <c r="J12" s="32">
        <f>0</f>
        <v>0</v>
      </c>
      <c r="K12" s="32">
        <f t="shared" si="0"/>
        <v>0</v>
      </c>
      <c r="L12" s="32">
        <f>0</f>
        <v>0</v>
      </c>
      <c r="M12" s="87">
        <f t="shared" si="1"/>
        <v>21856.080000000002</v>
      </c>
      <c r="N12" s="30"/>
      <c r="O12" s="32">
        <f>SUM('SOC_AGRO-FOREST_CALC'!Q14,'SOC_AGRO-FOREST_CALC'!V14,'SOC_AGRO-FOREST_CALC'!AA14)</f>
        <v>19670.472000000002</v>
      </c>
      <c r="P12" s="32">
        <f>0</f>
        <v>0</v>
      </c>
      <c r="Q12" s="32">
        <f t="shared" si="2"/>
        <v>0</v>
      </c>
      <c r="R12" s="33">
        <f>SUM('SOC_AGRO-FOREST_CALC'!N52,'SOC_AGRO-FOREST_CALC'!AP52)</f>
        <v>41901.555111916867</v>
      </c>
      <c r="S12" s="32">
        <f t="shared" si="3"/>
        <v>0</v>
      </c>
      <c r="T12" s="32">
        <f>'SOC_AGRO-FOREST_CALC'!R14+'SOC_AGRO-FOREST_CALC'!W14+'SOC_AGRO-FOREST_CALC'!AB14</f>
        <v>123483.97619999999</v>
      </c>
      <c r="U12" s="27">
        <f t="shared" si="4"/>
        <v>-145715.05931191685</v>
      </c>
      <c r="V12" s="29"/>
      <c r="W12" s="27">
        <f>0</f>
        <v>0</v>
      </c>
      <c r="X12" s="28">
        <f t="shared" si="8"/>
        <v>167571.13931191684</v>
      </c>
      <c r="Y12" s="34">
        <f t="shared" si="5"/>
        <v>16757.113931191685</v>
      </c>
      <c r="Z12" s="79">
        <f t="shared" si="9"/>
        <v>150814.02538072516</v>
      </c>
      <c r="AD12" s="96">
        <v>2025</v>
      </c>
      <c r="AE12" s="103">
        <f t="shared" si="6"/>
        <v>167571.13931191684</v>
      </c>
    </row>
    <row r="13" spans="1:56" ht="15.75" customHeight="1" thickBot="1">
      <c r="D13" s="9"/>
      <c r="E13" s="41">
        <v>2026</v>
      </c>
      <c r="F13" s="36">
        <v>57516</v>
      </c>
      <c r="G13" s="32">
        <f>F13*$B$4</f>
        <v>21856.080000000002</v>
      </c>
      <c r="H13" s="32">
        <f>0</f>
        <v>0</v>
      </c>
      <c r="I13" s="32">
        <f t="shared" si="11"/>
        <v>0</v>
      </c>
      <c r="J13" s="32">
        <f>0</f>
        <v>0</v>
      </c>
      <c r="K13" s="32">
        <f t="shared" si="0"/>
        <v>0</v>
      </c>
      <c r="L13" s="32">
        <f>0</f>
        <v>0</v>
      </c>
      <c r="M13" s="87">
        <f t="shared" si="1"/>
        <v>21856.080000000002</v>
      </c>
      <c r="N13" s="30"/>
      <c r="O13" s="32">
        <f>SUM('SOC_AGRO-FOREST_CALC'!Q15,'SOC_AGRO-FOREST_CALC'!V15,'SOC_AGRO-FOREST_CALC'!AA15)</f>
        <v>19670.472000000002</v>
      </c>
      <c r="P13" s="32">
        <f>0</f>
        <v>0</v>
      </c>
      <c r="Q13" s="32">
        <f t="shared" si="2"/>
        <v>0</v>
      </c>
      <c r="R13" s="33">
        <f>SUM('SOC_AGRO-FOREST_CALC'!N53,'SOC_AGRO-FOREST_CALC'!AP53)</f>
        <v>43084.800392832956</v>
      </c>
      <c r="S13" s="32">
        <f t="shared" si="3"/>
        <v>0</v>
      </c>
      <c r="T13" s="32">
        <f>'SOC_AGRO-FOREST_CALC'!R15+'SOC_AGRO-FOREST_CALC'!W15+'SOC_AGRO-FOREST_CALC'!AB15</f>
        <v>123483.97619999999</v>
      </c>
      <c r="U13" s="27">
        <f t="shared" si="4"/>
        <v>-146898.30459283295</v>
      </c>
      <c r="V13" s="29"/>
      <c r="W13" s="27">
        <f>0</f>
        <v>0</v>
      </c>
      <c r="X13" s="28">
        <f t="shared" si="8"/>
        <v>168754.38459283294</v>
      </c>
      <c r="Y13" s="34">
        <f t="shared" si="5"/>
        <v>16875.438459283294</v>
      </c>
      <c r="Z13" s="79">
        <f>X13-Y13</f>
        <v>151878.94613354965</v>
      </c>
      <c r="AD13" s="96">
        <v>2026</v>
      </c>
      <c r="AE13" s="103">
        <f t="shared" si="6"/>
        <v>168754.38459283294</v>
      </c>
    </row>
    <row r="14" spans="1:56" ht="15.75" customHeight="1" thickBot="1">
      <c r="A14" s="76" t="s">
        <v>79</v>
      </c>
      <c r="B14" s="71">
        <v>0</v>
      </c>
      <c r="C14" s="43"/>
      <c r="E14" s="41">
        <v>2027</v>
      </c>
      <c r="F14" s="36">
        <v>57516</v>
      </c>
      <c r="G14" s="32">
        <f t="shared" si="7"/>
        <v>21856.080000000002</v>
      </c>
      <c r="H14" s="32">
        <f>0</f>
        <v>0</v>
      </c>
      <c r="I14" s="32">
        <f>F14*$B$10</f>
        <v>0</v>
      </c>
      <c r="J14" s="32">
        <f>0</f>
        <v>0</v>
      </c>
      <c r="K14" s="32">
        <f t="shared" si="0"/>
        <v>0</v>
      </c>
      <c r="L14" s="32">
        <f>0</f>
        <v>0</v>
      </c>
      <c r="M14" s="87">
        <f t="shared" si="1"/>
        <v>21856.080000000002</v>
      </c>
      <c r="N14" s="30"/>
      <c r="O14" s="32">
        <f>SUM('SOC_AGRO-FOREST_CALC'!Q16,'SOC_AGRO-FOREST_CALC'!V16,'SOC_AGRO-FOREST_CALC'!AA16)</f>
        <v>19670.472000000002</v>
      </c>
      <c r="P14" s="32">
        <f>0</f>
        <v>0</v>
      </c>
      <c r="Q14" s="32">
        <f t="shared" si="2"/>
        <v>0</v>
      </c>
      <c r="R14" s="33">
        <f>SUM('SOC_AGRO-FOREST_CALC'!N54,'SOC_AGRO-FOREST_CALC'!AP54)</f>
        <v>44286.867989628823</v>
      </c>
      <c r="S14" s="32">
        <f t="shared" si="3"/>
        <v>0</v>
      </c>
      <c r="T14" s="32">
        <f>'SOC_AGRO-FOREST_CALC'!R16+'SOC_AGRO-FOREST_CALC'!W16+'SOC_AGRO-FOREST_CALC'!AB16</f>
        <v>123483.97619999999</v>
      </c>
      <c r="U14" s="27">
        <f t="shared" si="4"/>
        <v>-148100.3721896288</v>
      </c>
      <c r="V14" s="29"/>
      <c r="W14" s="27">
        <f>0</f>
        <v>0</v>
      </c>
      <c r="X14" s="28">
        <f t="shared" si="8"/>
        <v>169956.45218962879</v>
      </c>
      <c r="Y14" s="34">
        <f t="shared" si="5"/>
        <v>16995.64521896288</v>
      </c>
      <c r="Z14" s="79">
        <f t="shared" si="9"/>
        <v>152960.8069706659</v>
      </c>
      <c r="AD14" s="96">
        <v>2027</v>
      </c>
      <c r="AE14" s="103">
        <f t="shared" si="6"/>
        <v>169956.45218962879</v>
      </c>
    </row>
    <row r="15" spans="1:56" ht="15.75" customHeight="1" thickBot="1">
      <c r="A15" s="76" t="s">
        <v>80</v>
      </c>
      <c r="B15" s="68">
        <v>0</v>
      </c>
      <c r="C15" s="43"/>
      <c r="E15" s="41">
        <v>2028</v>
      </c>
      <c r="F15" s="36">
        <v>57516</v>
      </c>
      <c r="G15" s="32">
        <f t="shared" si="7"/>
        <v>21856.080000000002</v>
      </c>
      <c r="H15" s="32">
        <f>0</f>
        <v>0</v>
      </c>
      <c r="I15" s="32">
        <f t="shared" si="11"/>
        <v>0</v>
      </c>
      <c r="J15" s="32">
        <f>0</f>
        <v>0</v>
      </c>
      <c r="K15" s="32">
        <f t="shared" si="0"/>
        <v>0</v>
      </c>
      <c r="L15" s="32">
        <f>0</f>
        <v>0</v>
      </c>
      <c r="M15" s="87">
        <f t="shared" si="1"/>
        <v>21856.080000000002</v>
      </c>
      <c r="N15" s="30"/>
      <c r="O15" s="32">
        <f>SUM('SOC_AGRO-FOREST_CALC'!Q17,'SOC_AGRO-FOREST_CALC'!V17,'SOC_AGRO-FOREST_CALC'!AA17)</f>
        <v>19670.472000000002</v>
      </c>
      <c r="P15" s="32">
        <f>0</f>
        <v>0</v>
      </c>
      <c r="Q15" s="32">
        <f t="shared" si="2"/>
        <v>0</v>
      </c>
      <c r="R15" s="33">
        <f>SUM('SOC_AGRO-FOREST_CALC'!N55,'SOC_AGRO-FOREST_CALC'!AP55)</f>
        <v>45507.830789810971</v>
      </c>
      <c r="S15" s="32">
        <f t="shared" si="3"/>
        <v>0</v>
      </c>
      <c r="T15" s="32">
        <f>'SOC_AGRO-FOREST_CALC'!R17+'SOC_AGRO-FOREST_CALC'!W17+'SOC_AGRO-FOREST_CALC'!AB17</f>
        <v>123483.97619999999</v>
      </c>
      <c r="U15" s="27">
        <f t="shared" si="4"/>
        <v>-149321.33498981094</v>
      </c>
      <c r="V15" s="29"/>
      <c r="W15" s="27">
        <f>0</f>
        <v>0</v>
      </c>
      <c r="X15" s="28">
        <f t="shared" si="8"/>
        <v>171177.41498981096</v>
      </c>
      <c r="Y15" s="34">
        <f t="shared" si="5"/>
        <v>17117.741498981097</v>
      </c>
      <c r="Z15" s="79">
        <f t="shared" si="9"/>
        <v>154059.67349082985</v>
      </c>
      <c r="AD15" s="96">
        <v>2028</v>
      </c>
      <c r="AE15" s="103">
        <f t="shared" si="6"/>
        <v>171177.41498981096</v>
      </c>
    </row>
    <row r="16" spans="1:56" ht="15.75" customHeight="1" thickBot="1">
      <c r="E16" s="41">
        <v>2029</v>
      </c>
      <c r="F16" s="36">
        <v>57516</v>
      </c>
      <c r="G16" s="32">
        <f t="shared" si="7"/>
        <v>21856.080000000002</v>
      </c>
      <c r="H16" s="32">
        <f>0</f>
        <v>0</v>
      </c>
      <c r="I16" s="32">
        <f>F16*$B$10</f>
        <v>0</v>
      </c>
      <c r="J16" s="32">
        <f>0</f>
        <v>0</v>
      </c>
      <c r="K16" s="32">
        <f t="shared" si="0"/>
        <v>0</v>
      </c>
      <c r="L16" s="32">
        <f>0</f>
        <v>0</v>
      </c>
      <c r="M16" s="87">
        <f t="shared" si="1"/>
        <v>21856.080000000002</v>
      </c>
      <c r="N16" s="30"/>
      <c r="O16" s="32">
        <f>SUM('SOC_AGRO-FOREST_CALC'!Q18,'SOC_AGRO-FOREST_CALC'!V18,'SOC_AGRO-FOREST_CALC'!AA18)</f>
        <v>19670.472000000002</v>
      </c>
      <c r="P16" s="32">
        <f>0</f>
        <v>0</v>
      </c>
      <c r="Q16" s="32">
        <f t="shared" si="2"/>
        <v>0</v>
      </c>
      <c r="R16" s="33">
        <f>SUM('SOC_AGRO-FOREST_CALC'!N56,'SOC_AGRO-FOREST_CALC'!AP56)</f>
        <v>46747.761109163097</v>
      </c>
      <c r="S16" s="32">
        <f t="shared" si="3"/>
        <v>0</v>
      </c>
      <c r="T16" s="32">
        <f>'SOC_AGRO-FOREST_CALC'!R18+'SOC_AGRO-FOREST_CALC'!W18+'SOC_AGRO-FOREST_CALC'!AB18</f>
        <v>123483.97619999999</v>
      </c>
      <c r="U16" s="27">
        <f t="shared" si="4"/>
        <v>-150561.26530916308</v>
      </c>
      <c r="V16" s="29"/>
      <c r="W16" s="27">
        <f>0</f>
        <v>0</v>
      </c>
      <c r="X16" s="28">
        <f t="shared" si="8"/>
        <v>172417.34530916309</v>
      </c>
      <c r="Y16" s="34">
        <f t="shared" si="5"/>
        <v>17241.73453091631</v>
      </c>
      <c r="Z16" s="79">
        <f t="shared" si="9"/>
        <v>155175.61077824677</v>
      </c>
      <c r="AD16" s="96">
        <v>2029</v>
      </c>
      <c r="AE16" s="103">
        <f t="shared" si="6"/>
        <v>172417.34530916309</v>
      </c>
    </row>
    <row r="17" spans="1:31" ht="15.75" customHeight="1" thickBot="1">
      <c r="D17" s="9"/>
      <c r="E17" s="41">
        <v>2030</v>
      </c>
      <c r="F17" s="36">
        <v>57516</v>
      </c>
      <c r="G17" s="32">
        <f>F17*$B$4</f>
        <v>21856.080000000002</v>
      </c>
      <c r="H17" s="32">
        <f>0</f>
        <v>0</v>
      </c>
      <c r="I17" s="32">
        <f t="shared" si="11"/>
        <v>0</v>
      </c>
      <c r="J17" s="32">
        <f>0</f>
        <v>0</v>
      </c>
      <c r="K17" s="32">
        <f t="shared" si="0"/>
        <v>0</v>
      </c>
      <c r="L17" s="32">
        <f>0</f>
        <v>0</v>
      </c>
      <c r="M17" s="87">
        <f t="shared" si="1"/>
        <v>21856.080000000002</v>
      </c>
      <c r="N17" s="30"/>
      <c r="O17" s="32">
        <f>SUM('SOC_AGRO-FOREST_CALC'!Q19,'SOC_AGRO-FOREST_CALC'!V19,'SOC_AGRO-FOREST_CALC'!AA19)</f>
        <v>19670.472000000002</v>
      </c>
      <c r="P17" s="32">
        <f>0</f>
        <v>0</v>
      </c>
      <c r="Q17" s="32">
        <f>F17*$B$11*(3/12)</f>
        <v>0</v>
      </c>
      <c r="R17" s="33">
        <f>SUM('SOC_AGRO-FOREST_CALC'!N57,'SOC_AGRO-FOREST_CALC'!AP57)</f>
        <v>48006.730702822795</v>
      </c>
      <c r="S17" s="32">
        <f t="shared" si="3"/>
        <v>0</v>
      </c>
      <c r="T17" s="32">
        <f>'SOC_AGRO-FOREST_CALC'!R19+'SOC_AGRO-FOREST_CALC'!W19+'SOC_AGRO-FOREST_CALC'!AB19</f>
        <v>123483.97619999999</v>
      </c>
      <c r="U17" s="27">
        <f t="shared" si="4"/>
        <v>-151820.23490282279</v>
      </c>
      <c r="V17" s="29"/>
      <c r="W17" s="27">
        <f>0</f>
        <v>0</v>
      </c>
      <c r="X17" s="28">
        <f t="shared" si="8"/>
        <v>173676.31490282278</v>
      </c>
      <c r="Y17" s="34">
        <f t="shared" si="5"/>
        <v>17367.631490282278</v>
      </c>
      <c r="Z17" s="79">
        <f t="shared" si="9"/>
        <v>156308.6834125405</v>
      </c>
      <c r="AD17" s="96">
        <v>2030</v>
      </c>
      <c r="AE17" s="103">
        <f t="shared" si="6"/>
        <v>173676.31490282278</v>
      </c>
    </row>
    <row r="18" spans="1:31" ht="15.75" customHeight="1" thickBot="1">
      <c r="A18" s="2"/>
      <c r="B18" s="2"/>
      <c r="C18" s="2"/>
      <c r="D18" s="9"/>
      <c r="E18" s="41">
        <v>2031</v>
      </c>
      <c r="F18" s="36">
        <v>57516</v>
      </c>
      <c r="G18" s="32">
        <f>F18*$B$4</f>
        <v>21856.080000000002</v>
      </c>
      <c r="H18" s="32">
        <f>0</f>
        <v>0</v>
      </c>
      <c r="I18" s="32">
        <f>F18*$B$10</f>
        <v>0</v>
      </c>
      <c r="J18" s="32">
        <f>0</f>
        <v>0</v>
      </c>
      <c r="K18" s="32">
        <f>F18*$B$14</f>
        <v>0</v>
      </c>
      <c r="L18" s="32">
        <f>0</f>
        <v>0</v>
      </c>
      <c r="M18" s="87">
        <f t="shared" si="1"/>
        <v>21856.080000000002</v>
      </c>
      <c r="N18" s="30"/>
      <c r="O18" s="32">
        <f>SUM('SOC_AGRO-FOREST_CALC'!Q20,'SOC_AGRO-FOREST_CALC'!V20,'SOC_AGRO-FOREST_CALC'!AA20)</f>
        <v>19670.472000000002</v>
      </c>
      <c r="P18" s="32">
        <f>0</f>
        <v>0</v>
      </c>
      <c r="Q18" s="32">
        <f t="shared" si="2"/>
        <v>0</v>
      </c>
      <c r="R18" s="33">
        <f>SUM('SOC_AGRO-FOREST_CALC'!N58,'SOC_AGRO-FOREST_CALC'!AP58)</f>
        <v>49284.810776018865</v>
      </c>
      <c r="S18" s="32">
        <f>F18*$B$15</f>
        <v>0</v>
      </c>
      <c r="T18" s="32">
        <f>'SOC_AGRO-FOREST_CALC'!R20+'SOC_AGRO-FOREST_CALC'!W20+'SOC_AGRO-FOREST_CALC'!AB20</f>
        <v>123483.97619999999</v>
      </c>
      <c r="U18" s="27">
        <f>O18+S18+P18+Q18-R18-T18</f>
        <v>-153098.31497601885</v>
      </c>
      <c r="V18" s="29"/>
      <c r="W18" s="27">
        <f>0</f>
        <v>0</v>
      </c>
      <c r="X18" s="28">
        <f>M18-U18-W18</f>
        <v>174954.39497601887</v>
      </c>
      <c r="Y18" s="34">
        <f t="shared" si="5"/>
        <v>17495.439497601888</v>
      </c>
      <c r="Z18" s="79">
        <f>X18-Y18</f>
        <v>157458.95547841699</v>
      </c>
      <c r="AD18" s="96">
        <v>2031</v>
      </c>
      <c r="AE18" s="103">
        <f t="shared" si="6"/>
        <v>174954.39497601887</v>
      </c>
    </row>
    <row r="19" spans="1:31" ht="15.75" customHeight="1" thickBot="1">
      <c r="D19" s="9"/>
      <c r="E19" s="41">
        <v>2032</v>
      </c>
      <c r="F19" s="36">
        <v>57516</v>
      </c>
      <c r="G19" s="32">
        <f>F19*$B$4</f>
        <v>21856.080000000002</v>
      </c>
      <c r="H19" s="32">
        <f>0</f>
        <v>0</v>
      </c>
      <c r="I19" s="32">
        <f>F19*$B$10</f>
        <v>0</v>
      </c>
      <c r="J19" s="32">
        <f>0</f>
        <v>0</v>
      </c>
      <c r="K19" s="32">
        <f>F19*$B$14</f>
        <v>0</v>
      </c>
      <c r="L19" s="32">
        <f>0</f>
        <v>0</v>
      </c>
      <c r="M19" s="87">
        <f t="shared" si="1"/>
        <v>21856.080000000002</v>
      </c>
      <c r="N19" s="30"/>
      <c r="O19" s="32">
        <f>SUM('SOC_AGRO-FOREST_CALC'!Q21,'SOC_AGRO-FOREST_CALC'!V21,'SOC_AGRO-FOREST_CALC'!AA21)</f>
        <v>19670.472000000002</v>
      </c>
      <c r="P19" s="32">
        <f>0</f>
        <v>0</v>
      </c>
      <c r="Q19" s="32">
        <f t="shared" si="2"/>
        <v>0</v>
      </c>
      <c r="R19" s="33">
        <f>SUM('SOC_AGRO-FOREST_CALC'!N59,'SOC_AGRO-FOREST_CALC'!AP59)</f>
        <v>50582.071994483485</v>
      </c>
      <c r="S19" s="32">
        <f>F19*$B$15</f>
        <v>0</v>
      </c>
      <c r="T19" s="32">
        <f>'SOC_AGRO-FOREST_CALC'!R21+'SOC_AGRO-FOREST_CALC'!W21+'SOC_AGRO-FOREST_CALC'!AB21</f>
        <v>123483.97619999999</v>
      </c>
      <c r="U19" s="27">
        <f>O19+S19+P19+Q19-R19-T19</f>
        <v>-154395.57619448347</v>
      </c>
      <c r="V19" s="29"/>
      <c r="W19" s="27">
        <f>0</f>
        <v>0</v>
      </c>
      <c r="X19" s="28">
        <f>M19-U19-W19</f>
        <v>176251.65619448345</v>
      </c>
      <c r="Y19" s="34">
        <f t="shared" si="5"/>
        <v>17625.165619448348</v>
      </c>
      <c r="Z19" s="79">
        <f>X19-Y19</f>
        <v>158626.4905750351</v>
      </c>
      <c r="AB19" s="16"/>
      <c r="AD19" s="96">
        <v>2032</v>
      </c>
      <c r="AE19" s="103">
        <f t="shared" si="6"/>
        <v>176251.65619448345</v>
      </c>
    </row>
    <row r="20" spans="1:31" ht="15.75" customHeight="1" thickBot="1">
      <c r="D20" s="9"/>
      <c r="E20" s="41">
        <v>2033</v>
      </c>
      <c r="F20" s="36">
        <v>57516</v>
      </c>
      <c r="G20" s="32">
        <f>F20*$B$4</f>
        <v>21856.080000000002</v>
      </c>
      <c r="H20" s="32">
        <f>0</f>
        <v>0</v>
      </c>
      <c r="I20" s="32">
        <f>F20*$B$10</f>
        <v>0</v>
      </c>
      <c r="J20" s="32">
        <f>0</f>
        <v>0</v>
      </c>
      <c r="K20" s="32">
        <f>F20*$B$14</f>
        <v>0</v>
      </c>
      <c r="L20" s="32">
        <f>0</f>
        <v>0</v>
      </c>
      <c r="M20" s="87">
        <f t="shared" si="1"/>
        <v>21856.080000000002</v>
      </c>
      <c r="N20" s="30"/>
      <c r="O20" s="32">
        <f>SUM('SOC_AGRO-FOREST_CALC'!Q22,'SOC_AGRO-FOREST_CALC'!V22,'SOC_AGRO-FOREST_CALC'!AA22)</f>
        <v>19670.472000000002</v>
      </c>
      <c r="P20" s="32">
        <f>0</f>
        <v>0</v>
      </c>
      <c r="Q20" s="32">
        <f t="shared" si="2"/>
        <v>0</v>
      </c>
      <c r="R20" s="33">
        <f>SUM('SOC_AGRO-FOREST_CALC'!N60,'SOC_AGRO-FOREST_CALC'!AP60)</f>
        <v>51898.584494552728</v>
      </c>
      <c r="S20" s="32">
        <f>F20*$B$15</f>
        <v>0</v>
      </c>
      <c r="T20" s="32">
        <f>'SOC_AGRO-FOREST_CALC'!R22+'SOC_AGRO-FOREST_CALC'!W22+'SOC_AGRO-FOREST_CALC'!AB22</f>
        <v>123483.97619999999</v>
      </c>
      <c r="U20" s="27">
        <f>O20+S20+P20+Q20-R20-T20</f>
        <v>-155712.08869455272</v>
      </c>
      <c r="V20" s="29"/>
      <c r="W20" s="27">
        <f>0</f>
        <v>0</v>
      </c>
      <c r="X20" s="28">
        <f>M20-U20-W20</f>
        <v>177568.16869455273</v>
      </c>
      <c r="Y20" s="34">
        <f t="shared" si="5"/>
        <v>17756.816869455273</v>
      </c>
      <c r="Z20" s="79">
        <f>X20-Y20</f>
        <v>159811.35182509746</v>
      </c>
      <c r="AD20" s="96">
        <v>2033</v>
      </c>
      <c r="AE20" s="103">
        <f t="shared" si="6"/>
        <v>177568.16869455273</v>
      </c>
    </row>
    <row r="21" spans="1:31" ht="15.75" customHeight="1" thickBot="1">
      <c r="D21" s="9"/>
      <c r="E21" s="41">
        <v>2034</v>
      </c>
      <c r="F21" s="36">
        <v>57516</v>
      </c>
      <c r="G21" s="32">
        <f t="shared" si="7"/>
        <v>21856.080000000002</v>
      </c>
      <c r="H21" s="32">
        <f>0</f>
        <v>0</v>
      </c>
      <c r="I21" s="32">
        <f t="shared" si="11"/>
        <v>0</v>
      </c>
      <c r="J21" s="32">
        <f>0</f>
        <v>0</v>
      </c>
      <c r="K21" s="32">
        <f t="shared" si="0"/>
        <v>0</v>
      </c>
      <c r="L21" s="32">
        <f>0</f>
        <v>0</v>
      </c>
      <c r="M21" s="87">
        <f t="shared" si="1"/>
        <v>21856.080000000002</v>
      </c>
      <c r="N21" s="30"/>
      <c r="O21" s="32">
        <f>SUM('SOC_AGRO-FOREST_CALC'!Q23,'SOC_AGRO-FOREST_CALC'!V23,'SOC_AGRO-FOREST_CALC'!AA23)</f>
        <v>19670.472000000002</v>
      </c>
      <c r="P21" s="32">
        <f>0</f>
        <v>0</v>
      </c>
      <c r="Q21" s="32">
        <f t="shared" si="2"/>
        <v>0</v>
      </c>
      <c r="R21" s="33">
        <f>SUM('SOC_AGRO-FOREST_CALC'!N61,'SOC_AGRO-FOREST_CALC'!AP61)</f>
        <v>53234.417892968901</v>
      </c>
      <c r="S21" s="32">
        <f t="shared" si="3"/>
        <v>0</v>
      </c>
      <c r="T21" s="32">
        <f>'SOC_AGRO-FOREST_CALC'!R23+'SOC_AGRO-FOREST_CALC'!W23+'SOC_AGRO-FOREST_CALC'!AB23</f>
        <v>123483.97619999999</v>
      </c>
      <c r="U21" s="27">
        <f t="shared" si="4"/>
        <v>-157047.92209296889</v>
      </c>
      <c r="V21" s="29"/>
      <c r="W21" s="27">
        <f>0</f>
        <v>0</v>
      </c>
      <c r="X21" s="28">
        <f t="shared" si="8"/>
        <v>178904.00209296891</v>
      </c>
      <c r="Y21" s="34">
        <f t="shared" si="5"/>
        <v>17890.400209296891</v>
      </c>
      <c r="Z21" s="79">
        <f t="shared" si="9"/>
        <v>161013.601883672</v>
      </c>
      <c r="AD21" s="96">
        <v>2034</v>
      </c>
      <c r="AE21" s="103">
        <f t="shared" si="6"/>
        <v>178904.00209296891</v>
      </c>
    </row>
    <row r="22" spans="1:31" ht="15.75" customHeight="1" thickBot="1">
      <c r="D22" s="9"/>
      <c r="E22" s="41">
        <v>2035</v>
      </c>
      <c r="F22" s="36">
        <v>57516</v>
      </c>
      <c r="G22" s="32">
        <f t="shared" si="7"/>
        <v>21856.080000000002</v>
      </c>
      <c r="H22" s="32">
        <f>0</f>
        <v>0</v>
      </c>
      <c r="I22" s="32">
        <f t="shared" si="11"/>
        <v>0</v>
      </c>
      <c r="J22" s="32">
        <f>0</f>
        <v>0</v>
      </c>
      <c r="K22" s="32">
        <f t="shared" si="0"/>
        <v>0</v>
      </c>
      <c r="L22" s="32">
        <f>0</f>
        <v>0</v>
      </c>
      <c r="M22" s="87">
        <f t="shared" si="1"/>
        <v>21856.080000000002</v>
      </c>
      <c r="N22" s="30"/>
      <c r="O22" s="32">
        <f>SUM('SOC_AGRO-FOREST_CALC'!Q24,'SOC_AGRO-FOREST_CALC'!V24,'SOC_AGRO-FOREST_CALC'!AA24)</f>
        <v>19670.472000000002</v>
      </c>
      <c r="P22" s="32">
        <f>0</f>
        <v>0</v>
      </c>
      <c r="Q22" s="32">
        <f t="shared" si="2"/>
        <v>0</v>
      </c>
      <c r="R22" s="33">
        <f>SUM('SOC_AGRO-FOREST_CALC'!N62,'SOC_AGRO-FOREST_CALC'!AP62)</f>
        <v>54589.641296394635</v>
      </c>
      <c r="S22" s="32">
        <f t="shared" si="3"/>
        <v>0</v>
      </c>
      <c r="T22" s="32">
        <f>'SOC_AGRO-FOREST_CALC'!R24+'SOC_AGRO-FOREST_CALC'!W24+'SOC_AGRO-FOREST_CALC'!AB24</f>
        <v>123483.97619999999</v>
      </c>
      <c r="U22" s="27">
        <f t="shared" si="4"/>
        <v>-158403.14549639463</v>
      </c>
      <c r="V22" s="29"/>
      <c r="W22" s="27">
        <f>0</f>
        <v>0</v>
      </c>
      <c r="X22" s="28">
        <f>M22-U22-W22</f>
        <v>180259.22549639462</v>
      </c>
      <c r="Y22" s="34">
        <f t="shared" si="5"/>
        <v>18025.922549639461</v>
      </c>
      <c r="Z22" s="79">
        <f>X22-Y22</f>
        <v>162233.30294675517</v>
      </c>
      <c r="AD22" s="96">
        <v>2035</v>
      </c>
      <c r="AE22" s="103">
        <f t="shared" si="6"/>
        <v>180259.22549639462</v>
      </c>
    </row>
    <row r="23" spans="1:31" ht="15.75" customHeight="1" thickBot="1">
      <c r="D23" s="9"/>
      <c r="E23" s="41">
        <v>2036</v>
      </c>
      <c r="F23" s="36">
        <v>57516</v>
      </c>
      <c r="G23" s="32">
        <f t="shared" si="7"/>
        <v>21856.080000000002</v>
      </c>
      <c r="H23" s="32">
        <f>0</f>
        <v>0</v>
      </c>
      <c r="I23" s="32">
        <f t="shared" si="11"/>
        <v>0</v>
      </c>
      <c r="J23" s="32">
        <f>0</f>
        <v>0</v>
      </c>
      <c r="K23" s="32">
        <f t="shared" si="0"/>
        <v>0</v>
      </c>
      <c r="L23" s="32">
        <f>0</f>
        <v>0</v>
      </c>
      <c r="M23" s="87">
        <f t="shared" si="1"/>
        <v>21856.080000000002</v>
      </c>
      <c r="N23" s="30"/>
      <c r="O23" s="32">
        <f>SUM('SOC_AGRO-FOREST_CALC'!Q25,'SOC_AGRO-FOREST_CALC'!V25,'SOC_AGRO-FOREST_CALC'!AA25)</f>
        <v>19670.472000000002</v>
      </c>
      <c r="P23" s="32">
        <f>0</f>
        <v>0</v>
      </c>
      <c r="Q23" s="32">
        <f t="shared" si="2"/>
        <v>0</v>
      </c>
      <c r="R23" s="33">
        <f>SUM('SOC_AGRO-FOREST_CALC'!N63,'SOC_AGRO-FOREST_CALC'!AP63)</f>
        <v>55964.323310652784</v>
      </c>
      <c r="S23" s="32">
        <f>F23*$B$15</f>
        <v>0</v>
      </c>
      <c r="T23" s="32">
        <f>'SOC_AGRO-FOREST_CALC'!R25+'SOC_AGRO-FOREST_CALC'!W25+'SOC_AGRO-FOREST_CALC'!AB25</f>
        <v>123483.97619999999</v>
      </c>
      <c r="U23" s="27">
        <f>O23+S23+P23+Q23-R23-T23</f>
        <v>-159777.82751065277</v>
      </c>
      <c r="V23" s="29"/>
      <c r="W23" s="27">
        <f>0</f>
        <v>0</v>
      </c>
      <c r="X23" s="28">
        <f>M23-U23-W23</f>
        <v>181633.90751065279</v>
      </c>
      <c r="Y23" s="34">
        <f>X23*$Y$3</f>
        <v>18163.390751065279</v>
      </c>
      <c r="Z23" s="79">
        <f>X23-Y23</f>
        <v>163470.51675958751</v>
      </c>
      <c r="AA23" s="16"/>
      <c r="AD23" s="96">
        <v>2036</v>
      </c>
      <c r="AE23" s="103">
        <f t="shared" si="6"/>
        <v>181633.90751065279</v>
      </c>
    </row>
    <row r="24" spans="1:31" ht="15.75" customHeight="1" thickBot="1">
      <c r="D24" s="9"/>
      <c r="E24" s="41">
        <v>2037</v>
      </c>
      <c r="F24" s="36">
        <v>57516</v>
      </c>
      <c r="G24" s="32">
        <f t="shared" si="7"/>
        <v>21856.080000000002</v>
      </c>
      <c r="H24" s="32">
        <f>0</f>
        <v>0</v>
      </c>
      <c r="I24" s="32">
        <f t="shared" si="11"/>
        <v>0</v>
      </c>
      <c r="J24" s="32">
        <f>0</f>
        <v>0</v>
      </c>
      <c r="K24" s="32">
        <f t="shared" si="0"/>
        <v>0</v>
      </c>
      <c r="L24" s="32">
        <f>0</f>
        <v>0</v>
      </c>
      <c r="M24" s="87">
        <f t="shared" si="1"/>
        <v>21856.080000000002</v>
      </c>
      <c r="N24" s="30"/>
      <c r="O24" s="32">
        <f>SUM('SOC_AGRO-FOREST_CALC'!Q26,'SOC_AGRO-FOREST_CALC'!V26,'SOC_AGRO-FOREST_CALC'!AA26)</f>
        <v>19670.472000000002</v>
      </c>
      <c r="P24" s="32">
        <f>0</f>
        <v>0</v>
      </c>
      <c r="Q24" s="32">
        <f t="shared" si="2"/>
        <v>0</v>
      </c>
      <c r="R24" s="33">
        <f>SUM('SOC_AGRO-FOREST_CALC'!N64,'SOC_AGRO-FOREST_CALC'!AP64)</f>
        <v>57358.53204970064</v>
      </c>
      <c r="S24" s="32">
        <f t="shared" ref="S24:S34" si="12">F24*$B$15</f>
        <v>0</v>
      </c>
      <c r="T24" s="32">
        <f>'SOC_AGRO-FOREST_CALC'!R26+'SOC_AGRO-FOREST_CALC'!W26+'SOC_AGRO-FOREST_CALC'!AB26</f>
        <v>123483.97619999999</v>
      </c>
      <c r="U24" s="27">
        <f>O24+S24+P24+Q24-R24-T24</f>
        <v>-161172.03624970064</v>
      </c>
      <c r="V24" s="29"/>
      <c r="W24" s="27">
        <f>0</f>
        <v>0</v>
      </c>
      <c r="X24" s="28">
        <f t="shared" ref="X24:X33" si="13">M24-U24-W24</f>
        <v>183028.11624970066</v>
      </c>
      <c r="Y24" s="34">
        <f t="shared" ref="Y24:Y34" si="14">X24*$Y$3</f>
        <v>18302.811624970065</v>
      </c>
      <c r="Z24" s="79">
        <f t="shared" ref="Z24:Z34" si="15">X24-Y24</f>
        <v>164725.3046247306</v>
      </c>
      <c r="AA24" s="16"/>
      <c r="AD24" s="96">
        <v>2037</v>
      </c>
      <c r="AE24" s="103">
        <f t="shared" si="6"/>
        <v>183028.11624970066</v>
      </c>
    </row>
    <row r="25" spans="1:31" ht="15.75" customHeight="1" thickBot="1">
      <c r="D25" s="9"/>
      <c r="E25" s="41">
        <v>2038</v>
      </c>
      <c r="F25" s="36">
        <v>57516</v>
      </c>
      <c r="G25" s="32">
        <f t="shared" si="7"/>
        <v>21856.080000000002</v>
      </c>
      <c r="H25" s="32">
        <f>0</f>
        <v>0</v>
      </c>
      <c r="I25" s="32">
        <f t="shared" si="11"/>
        <v>0</v>
      </c>
      <c r="J25" s="32">
        <f>0</f>
        <v>0</v>
      </c>
      <c r="K25" s="32">
        <f t="shared" si="0"/>
        <v>0</v>
      </c>
      <c r="L25" s="32">
        <f>0</f>
        <v>0</v>
      </c>
      <c r="M25" s="87">
        <f t="shared" si="1"/>
        <v>21856.080000000002</v>
      </c>
      <c r="N25" s="30"/>
      <c r="O25" s="32">
        <f>SUM('SOC_AGRO-FOREST_CALC'!Q27,'SOC_AGRO-FOREST_CALC'!V27,'SOC_AGRO-FOREST_CALC'!AA27)</f>
        <v>19670.472000000002</v>
      </c>
      <c r="P25" s="32">
        <f>0</f>
        <v>0</v>
      </c>
      <c r="Q25" s="32">
        <f t="shared" si="2"/>
        <v>0</v>
      </c>
      <c r="R25" s="33">
        <f>SUM('SOC_AGRO-FOREST_CALC'!N65,'SOC_AGRO-FOREST_CALC'!AP65)</f>
        <v>58772.335144350582</v>
      </c>
      <c r="S25" s="32">
        <f t="shared" si="12"/>
        <v>0</v>
      </c>
      <c r="T25" s="32">
        <f>'SOC_AGRO-FOREST_CALC'!R27+'SOC_AGRO-FOREST_CALC'!W27+'SOC_AGRO-FOREST_CALC'!AB27</f>
        <v>123483.97619999999</v>
      </c>
      <c r="U25" s="27">
        <f t="shared" ref="U25:U34" si="16">O25+S25+P25+Q25-R25-T25</f>
        <v>-162585.83934435056</v>
      </c>
      <c r="V25" s="29"/>
      <c r="W25" s="27">
        <f>0</f>
        <v>0</v>
      </c>
      <c r="X25" s="28">
        <f t="shared" si="13"/>
        <v>184441.91934435058</v>
      </c>
      <c r="Y25" s="34">
        <f t="shared" si="14"/>
        <v>18444.191934435057</v>
      </c>
      <c r="Z25" s="79">
        <f t="shared" si="15"/>
        <v>165997.72740991553</v>
      </c>
      <c r="AA25" s="16"/>
      <c r="AD25" s="96">
        <v>2038</v>
      </c>
      <c r="AE25" s="103">
        <f t="shared" si="6"/>
        <v>184441.91934435058</v>
      </c>
    </row>
    <row r="26" spans="1:31" ht="15.75" customHeight="1" thickBot="1">
      <c r="D26" s="9"/>
      <c r="E26" s="41">
        <v>2039</v>
      </c>
      <c r="F26" s="36">
        <v>57516</v>
      </c>
      <c r="G26" s="32">
        <f t="shared" si="7"/>
        <v>21856.080000000002</v>
      </c>
      <c r="H26" s="32">
        <f>0</f>
        <v>0</v>
      </c>
      <c r="I26" s="32">
        <f t="shared" si="11"/>
        <v>0</v>
      </c>
      <c r="J26" s="32">
        <f>0</f>
        <v>0</v>
      </c>
      <c r="K26" s="32">
        <f t="shared" si="0"/>
        <v>0</v>
      </c>
      <c r="L26" s="32">
        <f>0</f>
        <v>0</v>
      </c>
      <c r="M26" s="87">
        <f t="shared" si="1"/>
        <v>21856.080000000002</v>
      </c>
      <c r="N26" s="30"/>
      <c r="O26" s="32">
        <f>SUM('SOC_AGRO-FOREST_CALC'!Q28,'SOC_AGRO-FOREST_CALC'!V28,'SOC_AGRO-FOREST_CALC'!AA28)</f>
        <v>19670.472000000002</v>
      </c>
      <c r="P26" s="32">
        <f>0</f>
        <v>0</v>
      </c>
      <c r="Q26" s="32">
        <f t="shared" si="2"/>
        <v>0</v>
      </c>
      <c r="R26" s="33">
        <f>SUM('SOC_AGRO-FOREST_CALC'!N66,'SOC_AGRO-FOREST_CALC'!AP66)</f>
        <v>60205.79975074582</v>
      </c>
      <c r="S26" s="32">
        <f t="shared" si="12"/>
        <v>0</v>
      </c>
      <c r="T26" s="32">
        <f>'SOC_AGRO-FOREST_CALC'!R28+'SOC_AGRO-FOREST_CALC'!W28+'SOC_AGRO-FOREST_CALC'!AB28</f>
        <v>123483.97619999999</v>
      </c>
      <c r="U26" s="27">
        <f t="shared" si="16"/>
        <v>-164019.30395074582</v>
      </c>
      <c r="V26" s="29"/>
      <c r="W26" s="27">
        <f>0</f>
        <v>0</v>
      </c>
      <c r="X26" s="28">
        <f t="shared" si="13"/>
        <v>185875.3839507458</v>
      </c>
      <c r="Y26" s="34">
        <f t="shared" si="14"/>
        <v>18587.538395074582</v>
      </c>
      <c r="Z26" s="79">
        <f t="shared" si="15"/>
        <v>167287.84555567123</v>
      </c>
      <c r="AA26" s="16"/>
      <c r="AD26" s="96">
        <v>2039</v>
      </c>
      <c r="AE26" s="103">
        <f t="shared" si="6"/>
        <v>185875.3839507458</v>
      </c>
    </row>
    <row r="27" spans="1:31" ht="15.75" customHeight="1" thickBot="1">
      <c r="D27" s="9"/>
      <c r="E27" s="41">
        <v>2040</v>
      </c>
      <c r="F27" s="36">
        <v>57516</v>
      </c>
      <c r="G27" s="32">
        <f t="shared" si="7"/>
        <v>21856.080000000002</v>
      </c>
      <c r="H27" s="32">
        <f>0</f>
        <v>0</v>
      </c>
      <c r="I27" s="32">
        <f t="shared" si="11"/>
        <v>0</v>
      </c>
      <c r="J27" s="32">
        <f>0</f>
        <v>0</v>
      </c>
      <c r="K27" s="32">
        <f t="shared" si="0"/>
        <v>0</v>
      </c>
      <c r="L27" s="32">
        <f>0</f>
        <v>0</v>
      </c>
      <c r="M27" s="87">
        <f t="shared" si="1"/>
        <v>21856.080000000002</v>
      </c>
      <c r="N27" s="30"/>
      <c r="O27" s="32">
        <f>SUM('SOC_AGRO-FOREST_CALC'!Q29,'SOC_AGRO-FOREST_CALC'!V29,'SOC_AGRO-FOREST_CALC'!AA29)</f>
        <v>19670.472000000002</v>
      </c>
      <c r="P27" s="32">
        <f>0</f>
        <v>0</v>
      </c>
      <c r="Q27" s="32">
        <f t="shared" si="2"/>
        <v>0</v>
      </c>
      <c r="R27" s="33">
        <f>SUM('SOC_AGRO-FOREST_CALC'!N67,'SOC_AGRO-FOREST_CALC'!AP67)</f>
        <v>61658.992558600374</v>
      </c>
      <c r="S27" s="32">
        <f t="shared" si="12"/>
        <v>0</v>
      </c>
      <c r="T27" s="32">
        <f>'SOC_AGRO-FOREST_CALC'!R29+'SOC_AGRO-FOREST_CALC'!W29+'SOC_AGRO-FOREST_CALC'!AB29</f>
        <v>123483.97619999999</v>
      </c>
      <c r="U27" s="27">
        <f t="shared" si="16"/>
        <v>-165472.49675860035</v>
      </c>
      <c r="V27" s="29"/>
      <c r="W27" s="27">
        <f>0</f>
        <v>0</v>
      </c>
      <c r="X27" s="28">
        <f t="shared" si="13"/>
        <v>187328.57675860036</v>
      </c>
      <c r="Y27" s="34">
        <f t="shared" si="14"/>
        <v>18732.857675860036</v>
      </c>
      <c r="Z27" s="79">
        <f t="shared" si="15"/>
        <v>168595.71908274034</v>
      </c>
      <c r="AA27" s="16"/>
      <c r="AD27" s="96">
        <v>2040</v>
      </c>
      <c r="AE27" s="103">
        <f t="shared" si="6"/>
        <v>187328.57675860036</v>
      </c>
    </row>
    <row r="28" spans="1:31" ht="15.75" customHeight="1" thickBot="1">
      <c r="D28" s="9"/>
      <c r="E28" s="41">
        <v>2041</v>
      </c>
      <c r="F28" s="36">
        <v>57516</v>
      </c>
      <c r="G28" s="32">
        <f t="shared" si="7"/>
        <v>21856.080000000002</v>
      </c>
      <c r="H28" s="32">
        <f>0</f>
        <v>0</v>
      </c>
      <c r="I28" s="32">
        <f t="shared" si="11"/>
        <v>0</v>
      </c>
      <c r="J28" s="32">
        <f>0</f>
        <v>0</v>
      </c>
      <c r="K28" s="32">
        <f t="shared" si="0"/>
        <v>0</v>
      </c>
      <c r="L28" s="32">
        <f>0</f>
        <v>0</v>
      </c>
      <c r="M28" s="87">
        <f t="shared" si="1"/>
        <v>21856.080000000002</v>
      </c>
      <c r="N28" s="30"/>
      <c r="O28" s="32">
        <f>SUM('SOC_AGRO-FOREST_CALC'!Q30,'SOC_AGRO-FOREST_CALC'!V30,'SOC_AGRO-FOREST_CALC'!AA30)</f>
        <v>19670.472000000002</v>
      </c>
      <c r="P28" s="32">
        <f>0</f>
        <v>0</v>
      </c>
      <c r="Q28" s="32">
        <f t="shared" si="2"/>
        <v>0</v>
      </c>
      <c r="R28" s="33">
        <f>SUM('SOC_AGRO-FOREST_CALC'!N68,'SOC_AGRO-FOREST_CALC'!AP68)</f>
        <v>63131.97979921419</v>
      </c>
      <c r="S28" s="32">
        <f t="shared" si="12"/>
        <v>0</v>
      </c>
      <c r="T28" s="32">
        <f>'SOC_AGRO-FOREST_CALC'!R30+'SOC_AGRO-FOREST_CALC'!W30+'SOC_AGRO-FOREST_CALC'!AB30</f>
        <v>123483.97619999999</v>
      </c>
      <c r="U28" s="27">
        <f t="shared" si="16"/>
        <v>-166945.48399921419</v>
      </c>
      <c r="V28" s="29"/>
      <c r="W28" s="27">
        <f>0</f>
        <v>0</v>
      </c>
      <c r="X28" s="28">
        <f t="shared" si="13"/>
        <v>188801.56399921421</v>
      </c>
      <c r="Y28" s="34">
        <f t="shared" si="14"/>
        <v>18880.156399921423</v>
      </c>
      <c r="Z28" s="79">
        <f t="shared" si="15"/>
        <v>169921.40759929278</v>
      </c>
      <c r="AA28" s="16"/>
      <c r="AD28" s="96">
        <v>2041</v>
      </c>
      <c r="AE28" s="103">
        <f t="shared" si="6"/>
        <v>188801.56399921421</v>
      </c>
    </row>
    <row r="29" spans="1:31" ht="15.75" customHeight="1" thickBot="1">
      <c r="D29" s="9"/>
      <c r="E29" s="41">
        <v>2042</v>
      </c>
      <c r="F29" s="36">
        <v>57516</v>
      </c>
      <c r="G29" s="32">
        <f t="shared" si="7"/>
        <v>21856.080000000002</v>
      </c>
      <c r="H29" s="32">
        <f>0</f>
        <v>0</v>
      </c>
      <c r="I29" s="32">
        <f t="shared" si="11"/>
        <v>0</v>
      </c>
      <c r="J29" s="32">
        <f>0</f>
        <v>0</v>
      </c>
      <c r="K29" s="32">
        <f t="shared" si="0"/>
        <v>0</v>
      </c>
      <c r="L29" s="32">
        <f>0</f>
        <v>0</v>
      </c>
      <c r="M29" s="87">
        <f t="shared" si="1"/>
        <v>21856.080000000002</v>
      </c>
      <c r="N29" s="30"/>
      <c r="O29" s="32">
        <f>SUM('SOC_AGRO-FOREST_CALC'!Q31,'SOC_AGRO-FOREST_CALC'!V31,'SOC_AGRO-FOREST_CALC'!AA31)</f>
        <v>19670.472000000002</v>
      </c>
      <c r="P29" s="32">
        <f>0</f>
        <v>0</v>
      </c>
      <c r="Q29" s="32">
        <f t="shared" si="2"/>
        <v>0</v>
      </c>
      <c r="R29" s="33">
        <f>SUM('SOC_AGRO-FOREST_CALC'!N69,'SOC_AGRO-FOREST_CALC'!AP69)</f>
        <v>64624.827253268712</v>
      </c>
      <c r="S29" s="32">
        <f t="shared" si="12"/>
        <v>0</v>
      </c>
      <c r="T29" s="32">
        <f>'SOC_AGRO-FOREST_CALC'!R31+'SOC_AGRO-FOREST_CALC'!W31+'SOC_AGRO-FOREST_CALC'!AB31</f>
        <v>123483.97619999999</v>
      </c>
      <c r="U29" s="27">
        <f t="shared" si="16"/>
        <v>-168438.33145326871</v>
      </c>
      <c r="V29" s="29"/>
      <c r="W29" s="27">
        <f>0</f>
        <v>0</v>
      </c>
      <c r="X29" s="28">
        <f t="shared" si="13"/>
        <v>190294.41145326872</v>
      </c>
      <c r="Y29" s="34">
        <f t="shared" si="14"/>
        <v>19029.441145326873</v>
      </c>
      <c r="Z29" s="79">
        <f t="shared" si="15"/>
        <v>171264.97030794184</v>
      </c>
      <c r="AA29" s="16"/>
      <c r="AD29" s="96">
        <v>2042</v>
      </c>
      <c r="AE29" s="103">
        <f t="shared" si="6"/>
        <v>190294.41145326872</v>
      </c>
    </row>
    <row r="30" spans="1:31" ht="15.75" customHeight="1" thickBot="1">
      <c r="D30" s="9"/>
      <c r="E30" s="41">
        <v>2043</v>
      </c>
      <c r="F30" s="36">
        <v>57516</v>
      </c>
      <c r="G30" s="32">
        <f t="shared" si="7"/>
        <v>21856.080000000002</v>
      </c>
      <c r="H30" s="32">
        <f>0</f>
        <v>0</v>
      </c>
      <c r="I30" s="32">
        <f t="shared" si="11"/>
        <v>0</v>
      </c>
      <c r="J30" s="32">
        <f>0</f>
        <v>0</v>
      </c>
      <c r="K30" s="32">
        <f t="shared" si="0"/>
        <v>0</v>
      </c>
      <c r="L30" s="32">
        <f>0</f>
        <v>0</v>
      </c>
      <c r="M30" s="87">
        <f t="shared" si="1"/>
        <v>21856.080000000002</v>
      </c>
      <c r="N30" s="30"/>
      <c r="O30" s="32">
        <f>SUM('SOC_AGRO-FOREST_CALC'!Q32,'SOC_AGRO-FOREST_CALC'!V32,'SOC_AGRO-FOREST_CALC'!AA32)</f>
        <v>19670.472000000002</v>
      </c>
      <c r="P30" s="32">
        <f>0</f>
        <v>0</v>
      </c>
      <c r="Q30" s="32">
        <f t="shared" si="2"/>
        <v>0</v>
      </c>
      <c r="R30" s="33">
        <f>SUM('SOC_AGRO-FOREST_CALC'!N70,'SOC_AGRO-FOREST_CALC'!AP70)</f>
        <v>66137.600258413397</v>
      </c>
      <c r="S30" s="32">
        <f t="shared" si="12"/>
        <v>0</v>
      </c>
      <c r="T30" s="32">
        <f>'SOC_AGRO-FOREST_CALC'!R32+'SOC_AGRO-FOREST_CALC'!W32+'SOC_AGRO-FOREST_CALC'!AB32</f>
        <v>123483.97619999999</v>
      </c>
      <c r="U30" s="27">
        <f t="shared" si="16"/>
        <v>-169951.10445841338</v>
      </c>
      <c r="V30" s="29"/>
      <c r="W30" s="27">
        <f>0</f>
        <v>0</v>
      </c>
      <c r="X30" s="28">
        <f t="shared" si="13"/>
        <v>191807.18445841339</v>
      </c>
      <c r="Y30" s="34">
        <f t="shared" si="14"/>
        <v>19180.718445841339</v>
      </c>
      <c r="Z30" s="79">
        <f t="shared" si="15"/>
        <v>172626.46601257205</v>
      </c>
      <c r="AA30" s="16"/>
      <c r="AD30" s="96">
        <v>2043</v>
      </c>
      <c r="AE30" s="103">
        <f t="shared" si="6"/>
        <v>191807.18445841339</v>
      </c>
    </row>
    <row r="31" spans="1:31" ht="15.75" customHeight="1" thickBot="1">
      <c r="D31" s="9"/>
      <c r="E31" s="41">
        <v>2044</v>
      </c>
      <c r="F31" s="36">
        <v>57516</v>
      </c>
      <c r="G31" s="32">
        <f t="shared" si="7"/>
        <v>21856.080000000002</v>
      </c>
      <c r="H31" s="32">
        <f>0</f>
        <v>0</v>
      </c>
      <c r="I31" s="32">
        <f t="shared" si="11"/>
        <v>0</v>
      </c>
      <c r="J31" s="32">
        <f>0</f>
        <v>0</v>
      </c>
      <c r="K31" s="32">
        <f t="shared" si="0"/>
        <v>0</v>
      </c>
      <c r="L31" s="32">
        <f>0</f>
        <v>0</v>
      </c>
      <c r="M31" s="87">
        <f t="shared" si="1"/>
        <v>21856.080000000002</v>
      </c>
      <c r="N31" s="30"/>
      <c r="O31" s="32">
        <f>SUM('SOC_AGRO-FOREST_CALC'!Q33,'SOC_AGRO-FOREST_CALC'!V33,'SOC_AGRO-FOREST_CALC'!AA33)</f>
        <v>19670.472000000002</v>
      </c>
      <c r="P31" s="32">
        <f>0</f>
        <v>0</v>
      </c>
      <c r="Q31" s="32">
        <f t="shared" si="2"/>
        <v>0</v>
      </c>
      <c r="R31" s="33">
        <f>SUM('SOC_AGRO-FOREST_CALC'!N71,'SOC_AGRO-FOREST_CALC'!AP71)</f>
        <v>67670.363716650769</v>
      </c>
      <c r="S31" s="32">
        <f t="shared" si="12"/>
        <v>0</v>
      </c>
      <c r="T31" s="32">
        <f>'SOC_AGRO-FOREST_CALC'!R33+'SOC_AGRO-FOREST_CALC'!W33+'SOC_AGRO-FOREST_CALC'!AB33</f>
        <v>123483.97619999999</v>
      </c>
      <c r="U31" s="27">
        <f t="shared" si="16"/>
        <v>-171483.86791665075</v>
      </c>
      <c r="V31" s="29"/>
      <c r="W31" s="27">
        <f>0</f>
        <v>0</v>
      </c>
      <c r="X31" s="28">
        <f t="shared" si="13"/>
        <v>193339.94791665074</v>
      </c>
      <c r="Y31" s="34">
        <f t="shared" si="14"/>
        <v>19333.994791665074</v>
      </c>
      <c r="Z31" s="79">
        <f t="shared" si="15"/>
        <v>174005.95312498565</v>
      </c>
      <c r="AA31" s="16"/>
      <c r="AD31" s="96">
        <v>2044</v>
      </c>
      <c r="AE31" s="103">
        <f t="shared" si="6"/>
        <v>193339.94791665074</v>
      </c>
    </row>
    <row r="32" spans="1:31" ht="15.75" customHeight="1" thickBot="1">
      <c r="D32" s="9"/>
      <c r="E32" s="41">
        <v>2045</v>
      </c>
      <c r="F32" s="36">
        <v>57516</v>
      </c>
      <c r="G32" s="32">
        <f t="shared" si="7"/>
        <v>21856.080000000002</v>
      </c>
      <c r="H32" s="32">
        <f>0</f>
        <v>0</v>
      </c>
      <c r="I32" s="32">
        <f t="shared" si="11"/>
        <v>0</v>
      </c>
      <c r="J32" s="32">
        <f>0</f>
        <v>0</v>
      </c>
      <c r="K32" s="32">
        <f t="shared" si="0"/>
        <v>0</v>
      </c>
      <c r="L32" s="32">
        <f>0</f>
        <v>0</v>
      </c>
      <c r="M32" s="87">
        <f t="shared" si="1"/>
        <v>21856.080000000002</v>
      </c>
      <c r="N32" s="30"/>
      <c r="O32" s="32">
        <f>SUM('SOC_AGRO-FOREST_CALC'!Q34,'SOC_AGRO-FOREST_CALC'!V34,'SOC_AGRO-FOREST_CALC'!AA34)</f>
        <v>19670.472000000002</v>
      </c>
      <c r="P32" s="32">
        <f>0</f>
        <v>0</v>
      </c>
      <c r="Q32" s="32">
        <f t="shared" si="2"/>
        <v>0</v>
      </c>
      <c r="R32" s="33">
        <f>SUM('SOC_AGRO-FOREST_CALC'!N72,'SOC_AGRO-FOREST_CALC'!AP72)</f>
        <v>69223.182101525235</v>
      </c>
      <c r="S32" s="32">
        <f t="shared" si="12"/>
        <v>0</v>
      </c>
      <c r="T32" s="32">
        <f>'SOC_AGRO-FOREST_CALC'!R34+'SOC_AGRO-FOREST_CALC'!W34+'SOC_AGRO-FOREST_CALC'!AB34</f>
        <v>123483.97619999999</v>
      </c>
      <c r="U32" s="27">
        <f t="shared" si="16"/>
        <v>-173036.68630152522</v>
      </c>
      <c r="V32" s="29"/>
      <c r="W32" s="27">
        <f>0</f>
        <v>0</v>
      </c>
      <c r="X32" s="28">
        <f t="shared" si="13"/>
        <v>194892.76630152523</v>
      </c>
      <c r="Y32" s="34">
        <f t="shared" si="14"/>
        <v>19489.276630152523</v>
      </c>
      <c r="Z32" s="79">
        <f t="shared" si="15"/>
        <v>175403.48967137272</v>
      </c>
      <c r="AA32" s="16"/>
      <c r="AD32" s="96">
        <v>2045</v>
      </c>
      <c r="AE32" s="103">
        <f t="shared" si="6"/>
        <v>194892.76630152523</v>
      </c>
    </row>
    <row r="33" spans="2:35" ht="15.75" customHeight="1" thickBot="1">
      <c r="D33" s="9"/>
      <c r="E33" s="41">
        <v>2046</v>
      </c>
      <c r="F33" s="36">
        <v>57516</v>
      </c>
      <c r="G33" s="32">
        <f t="shared" si="7"/>
        <v>21856.080000000002</v>
      </c>
      <c r="H33" s="32">
        <f>0</f>
        <v>0</v>
      </c>
      <c r="I33" s="32">
        <f t="shared" si="11"/>
        <v>0</v>
      </c>
      <c r="J33" s="32">
        <f>0</f>
        <v>0</v>
      </c>
      <c r="K33" s="32">
        <f t="shared" si="0"/>
        <v>0</v>
      </c>
      <c r="L33" s="32">
        <f>0</f>
        <v>0</v>
      </c>
      <c r="M33" s="87">
        <f t="shared" si="1"/>
        <v>21856.080000000002</v>
      </c>
      <c r="N33" s="30"/>
      <c r="O33" s="32">
        <f>SUM('SOC_AGRO-FOREST_CALC'!Q35,'SOC_AGRO-FOREST_CALC'!V35,'SOC_AGRO-FOREST_CALC'!AA35)</f>
        <v>19670.472000000002</v>
      </c>
      <c r="P33" s="32">
        <f>0</f>
        <v>0</v>
      </c>
      <c r="Q33" s="32">
        <f t="shared" si="2"/>
        <v>0</v>
      </c>
      <c r="R33" s="33">
        <f>SUM('SOC_AGRO-FOREST_CALC'!N73,'SOC_AGRO-FOREST_CALC'!AP73)</f>
        <v>70796.119465124852</v>
      </c>
      <c r="S33" s="32">
        <f t="shared" si="12"/>
        <v>0</v>
      </c>
      <c r="T33" s="32">
        <f>'SOC_AGRO-FOREST_CALC'!R35+'SOC_AGRO-FOREST_CALC'!W35+'SOC_AGRO-FOREST_CALC'!AB35</f>
        <v>123483.97619999999</v>
      </c>
      <c r="U33" s="27">
        <f t="shared" si="16"/>
        <v>-174609.62366512485</v>
      </c>
      <c r="V33" s="29"/>
      <c r="W33" s="27">
        <f>0</f>
        <v>0</v>
      </c>
      <c r="X33" s="28">
        <f t="shared" si="13"/>
        <v>196465.70366512483</v>
      </c>
      <c r="Y33" s="34">
        <f t="shared" si="14"/>
        <v>19646.570366512486</v>
      </c>
      <c r="Z33" s="79">
        <f t="shared" si="15"/>
        <v>176819.13329861235</v>
      </c>
      <c r="AA33" s="16"/>
      <c r="AD33" s="96">
        <v>2046</v>
      </c>
      <c r="AE33" s="103">
        <f t="shared" si="6"/>
        <v>196465.70366512483</v>
      </c>
    </row>
    <row r="34" spans="2:35" ht="15.75" customHeight="1" thickBot="1">
      <c r="D34" s="9"/>
      <c r="E34" s="41" t="s">
        <v>29</v>
      </c>
      <c r="F34" s="36">
        <v>57516</v>
      </c>
      <c r="G34" s="32">
        <f>F34*$B$4*(9/12)</f>
        <v>16392.060000000001</v>
      </c>
      <c r="H34" s="32">
        <f>0</f>
        <v>0</v>
      </c>
      <c r="I34" s="32">
        <f t="shared" si="11"/>
        <v>0</v>
      </c>
      <c r="J34" s="32">
        <f>0</f>
        <v>0</v>
      </c>
      <c r="K34" s="32">
        <f t="shared" si="0"/>
        <v>0</v>
      </c>
      <c r="L34" s="32">
        <f>0</f>
        <v>0</v>
      </c>
      <c r="M34" s="87">
        <f t="shared" si="1"/>
        <v>16392.060000000001</v>
      </c>
      <c r="N34" s="30"/>
      <c r="O34" s="32">
        <f>SUM('SOC_AGRO-FOREST_CALC'!Q36,'SOC_AGRO-FOREST_CALC'!V36,'SOC_AGRO-FOREST_CALC'!AA36)</f>
        <v>14752.853999999999</v>
      </c>
      <c r="P34" s="32">
        <f>0</f>
        <v>0</v>
      </c>
      <c r="Q34" s="32">
        <f t="shared" si="2"/>
        <v>0</v>
      </c>
      <c r="R34" s="33">
        <f>SUM('SOC_AGRO-FOREST_CALC'!N74,'SOC_AGRO-FOREST_CALC'!AP74)</f>
        <v>54291.929583676625</v>
      </c>
      <c r="S34" s="32">
        <f t="shared" si="12"/>
        <v>0</v>
      </c>
      <c r="T34" s="32">
        <f>'SOC_AGRO-FOREST_CALC'!R36+'SOC_AGRO-FOREST_CALC'!W36+'SOC_AGRO-FOREST_CALC'!AB36</f>
        <v>92612.982150000011</v>
      </c>
      <c r="U34" s="27">
        <f t="shared" si="16"/>
        <v>-132152.05773367663</v>
      </c>
      <c r="V34" s="29"/>
      <c r="W34" s="27">
        <f>0</f>
        <v>0</v>
      </c>
      <c r="X34" s="28">
        <f>M34-U34-W34</f>
        <v>148544.11773367663</v>
      </c>
      <c r="Y34" s="34">
        <f t="shared" si="14"/>
        <v>14854.411773367663</v>
      </c>
      <c r="Z34" s="79">
        <f t="shared" si="15"/>
        <v>133689.70596030896</v>
      </c>
      <c r="AA34" s="16"/>
      <c r="AD34" s="96" t="s">
        <v>81</v>
      </c>
      <c r="AE34" s="103">
        <f t="shared" si="6"/>
        <v>148544.11773367663</v>
      </c>
    </row>
    <row r="35" spans="2:35" ht="28.9" customHeight="1" thickBot="1">
      <c r="D35" s="9"/>
      <c r="E35" s="41"/>
      <c r="F35" s="36"/>
      <c r="G35" s="11">
        <f>SUM(G4:G34)</f>
        <v>644207.9580000001</v>
      </c>
      <c r="H35" s="11">
        <f t="shared" ref="H35:L35" si="17">SUM(H4:H23)</f>
        <v>0</v>
      </c>
      <c r="I35" s="11">
        <f t="shared" si="17"/>
        <v>0</v>
      </c>
      <c r="J35" s="12">
        <f t="shared" si="17"/>
        <v>0</v>
      </c>
      <c r="K35" s="13">
        <f t="shared" si="17"/>
        <v>0</v>
      </c>
      <c r="L35" s="12">
        <f t="shared" si="17"/>
        <v>0</v>
      </c>
      <c r="M35" s="84">
        <f>SUM(M4:M34)</f>
        <v>644207.9580000001</v>
      </c>
      <c r="N35" s="31"/>
      <c r="O35" s="88">
        <f>SUM(O4:O34)</f>
        <v>579787.16220000014</v>
      </c>
      <c r="P35" s="88">
        <f t="shared" ref="P35:Q35" si="18">SUM(P4:P23)</f>
        <v>0</v>
      </c>
      <c r="Q35" s="88">
        <f t="shared" si="18"/>
        <v>0</v>
      </c>
      <c r="R35" s="89">
        <f>SUM(R4:R34)</f>
        <v>1437860.5020220517</v>
      </c>
      <c r="S35" s="90">
        <f>SUM(S4:S34)</f>
        <v>0</v>
      </c>
      <c r="T35" s="91">
        <f>SUM(T4:T34)</f>
        <v>3639690.1984949987</v>
      </c>
      <c r="U35" s="87">
        <f>SUM(U4:U34)</f>
        <v>-4497763.5383170517</v>
      </c>
      <c r="V35" s="29"/>
      <c r="W35" s="27"/>
      <c r="X35" s="89">
        <f>SUM(X4:X34)</f>
        <v>5141971.4963170514</v>
      </c>
      <c r="Y35" s="89">
        <f>SUM(Y4:Y34)</f>
        <v>514197.14963170525</v>
      </c>
      <c r="Z35" s="89">
        <f>SUM(Z4:Z34)</f>
        <v>4627774.3466853462</v>
      </c>
      <c r="AA35" s="16"/>
      <c r="AD35" s="97" t="s">
        <v>82</v>
      </c>
      <c r="AE35" s="103">
        <f>X35</f>
        <v>5141971.4963170514</v>
      </c>
      <c r="AI35" s="16"/>
    </row>
    <row r="36" spans="2:35" ht="30.6" thickBot="1">
      <c r="D36" s="9"/>
      <c r="X36" s="3"/>
      <c r="AA36" s="16"/>
      <c r="AD36" s="97" t="s">
        <v>83</v>
      </c>
      <c r="AE36" s="103">
        <v>30</v>
      </c>
    </row>
    <row r="37" spans="2:35" ht="24.75" customHeight="1" thickBot="1">
      <c r="B37" s="9"/>
      <c r="D37" s="9"/>
      <c r="N37" s="3"/>
      <c r="V37" s="3"/>
      <c r="X37" s="14"/>
      <c r="AA37" s="16"/>
      <c r="AD37" s="97" t="s">
        <v>84</v>
      </c>
      <c r="AE37" s="103">
        <f>AE35/30</f>
        <v>171399.04987723505</v>
      </c>
    </row>
    <row r="38" spans="2:35">
      <c r="G38" s="1"/>
      <c r="H38" s="1"/>
      <c r="I38" s="1"/>
      <c r="J38" s="1"/>
      <c r="K38" s="1"/>
      <c r="L38" s="1"/>
      <c r="M38" s="1"/>
      <c r="N38" s="1"/>
      <c r="O38" s="1"/>
      <c r="P38" s="1"/>
      <c r="Q38" s="1"/>
      <c r="R38" s="1"/>
      <c r="S38" s="1"/>
      <c r="T38" s="1"/>
      <c r="U38" s="1"/>
      <c r="V38" s="1"/>
      <c r="W38" s="1"/>
    </row>
    <row r="39" spans="2:35">
      <c r="G39" s="1"/>
      <c r="H39" s="1"/>
      <c r="I39" s="1"/>
      <c r="J39" s="1"/>
      <c r="K39" s="1"/>
      <c r="L39" s="1"/>
      <c r="M39" s="1"/>
      <c r="N39" s="1"/>
      <c r="O39" s="1"/>
      <c r="P39" s="1"/>
      <c r="Q39" s="1"/>
      <c r="R39" s="1"/>
      <c r="S39" s="1"/>
      <c r="T39" s="1"/>
      <c r="U39" s="1"/>
      <c r="V39" s="1"/>
      <c r="W39" s="1"/>
      <c r="Z39" s="16"/>
    </row>
    <row r="40" spans="2:35">
      <c r="G40" s="1"/>
      <c r="H40" s="1"/>
      <c r="I40" s="1"/>
      <c r="J40" s="1"/>
      <c r="K40" s="1"/>
      <c r="L40" s="1"/>
      <c r="M40" s="1"/>
      <c r="N40" s="1"/>
      <c r="O40" s="1"/>
      <c r="P40" s="1"/>
      <c r="Q40" s="1"/>
      <c r="R40" s="1"/>
      <c r="S40" s="1"/>
      <c r="T40" s="1"/>
      <c r="U40" s="1"/>
      <c r="V40" s="1"/>
      <c r="W40" s="1"/>
    </row>
    <row r="41" spans="2:35" ht="13.9" customHeight="1">
      <c r="G41" s="1"/>
      <c r="H41" s="1"/>
      <c r="I41" s="1"/>
      <c r="J41" s="1"/>
      <c r="K41" s="1"/>
      <c r="L41" s="1"/>
      <c r="M41" s="1"/>
      <c r="N41" s="1"/>
      <c r="O41" s="1"/>
      <c r="P41" s="1"/>
      <c r="Q41" s="1"/>
      <c r="R41" s="1"/>
      <c r="S41" s="1"/>
      <c r="T41" s="1"/>
      <c r="U41" s="1"/>
      <c r="V41" s="1"/>
      <c r="W41" s="1"/>
    </row>
    <row r="42" spans="2:35" ht="13.9" customHeight="1">
      <c r="G42" s="1"/>
      <c r="H42" s="1"/>
      <c r="I42" s="1"/>
      <c r="J42" s="1"/>
      <c r="K42" s="1"/>
      <c r="L42" s="1"/>
      <c r="M42" s="1"/>
      <c r="N42" s="1"/>
      <c r="O42" s="1"/>
      <c r="P42" s="1"/>
      <c r="Q42" s="1"/>
      <c r="R42" s="1"/>
      <c r="S42" s="1"/>
      <c r="T42" s="1"/>
      <c r="U42" s="1"/>
      <c r="V42" s="1"/>
      <c r="W42" s="1"/>
    </row>
    <row r="43" spans="2:35" ht="13.9" customHeight="1">
      <c r="G43" s="1"/>
      <c r="H43" s="1"/>
      <c r="I43" s="1"/>
      <c r="J43" s="1"/>
      <c r="K43" s="1"/>
      <c r="L43" s="1"/>
      <c r="M43" s="1"/>
      <c r="N43" s="1"/>
      <c r="O43" s="1"/>
      <c r="P43" s="1"/>
      <c r="Q43" s="1"/>
      <c r="R43" s="1"/>
      <c r="S43" s="1"/>
      <c r="T43" s="1"/>
      <c r="U43" s="1"/>
      <c r="V43" s="1"/>
      <c r="W43" s="1"/>
    </row>
    <row r="44" spans="2:35" ht="13.9" customHeight="1">
      <c r="G44" s="1"/>
      <c r="H44" s="1"/>
      <c r="I44" s="1"/>
      <c r="J44" s="1"/>
      <c r="K44" s="1"/>
      <c r="L44" s="1"/>
      <c r="M44" s="1"/>
      <c r="N44" s="1"/>
      <c r="O44" s="1"/>
      <c r="P44" s="1"/>
      <c r="Q44" s="1"/>
      <c r="R44" s="1"/>
      <c r="S44" s="1"/>
      <c r="T44" s="1"/>
      <c r="U44" s="1"/>
      <c r="V44" s="1"/>
      <c r="W44" s="1"/>
    </row>
    <row r="45" spans="2:35" ht="13.9" customHeight="1">
      <c r="G45" s="1"/>
      <c r="H45" s="1"/>
      <c r="I45" s="1"/>
      <c r="J45" s="1"/>
      <c r="K45" s="1"/>
      <c r="L45" s="1"/>
      <c r="M45" s="1"/>
      <c r="N45" s="1"/>
      <c r="O45" s="1"/>
      <c r="P45" s="1"/>
      <c r="Q45" s="1"/>
      <c r="R45" s="1"/>
      <c r="S45" s="1"/>
      <c r="T45" s="1"/>
      <c r="U45" s="1"/>
      <c r="V45" s="1"/>
      <c r="W45" s="1"/>
    </row>
    <row r="46" spans="2:35" ht="13.9" customHeight="1">
      <c r="G46" s="1"/>
      <c r="H46" s="1"/>
      <c r="I46" s="1"/>
      <c r="J46" s="1"/>
      <c r="K46" s="1"/>
      <c r="L46" s="1"/>
      <c r="M46" s="1"/>
      <c r="N46" s="1"/>
      <c r="O46" s="1"/>
      <c r="P46" s="1"/>
      <c r="Q46" s="1"/>
      <c r="R46" s="1"/>
      <c r="S46" s="1"/>
      <c r="T46" s="1"/>
      <c r="U46" s="1"/>
      <c r="V46" s="1"/>
      <c r="W46" s="1"/>
    </row>
    <row r="47" spans="2:35">
      <c r="G47" s="1"/>
      <c r="H47" s="1"/>
      <c r="I47" s="1"/>
      <c r="J47" s="1"/>
      <c r="K47" s="1"/>
      <c r="L47" s="1"/>
      <c r="M47" s="1"/>
      <c r="N47" s="1"/>
      <c r="O47" s="1"/>
      <c r="P47" s="1"/>
      <c r="Q47" s="1"/>
      <c r="R47" s="1"/>
      <c r="S47" s="1"/>
      <c r="T47" s="1"/>
      <c r="U47" s="1"/>
      <c r="V47" s="1"/>
      <c r="W47" s="1"/>
    </row>
    <row r="48" spans="2:35">
      <c r="G48" s="1"/>
      <c r="H48" s="1"/>
      <c r="I48" s="1"/>
      <c r="J48" s="1"/>
      <c r="K48" s="1"/>
      <c r="L48" s="1"/>
      <c r="M48" s="1"/>
      <c r="N48" s="1"/>
      <c r="O48" s="1"/>
      <c r="P48" s="1"/>
      <c r="Q48" s="1"/>
      <c r="R48" s="1"/>
      <c r="S48" s="1"/>
      <c r="T48" s="1"/>
      <c r="U48" s="1"/>
      <c r="V48" s="1"/>
      <c r="W48" s="1"/>
    </row>
    <row r="49" spans="1:23">
      <c r="G49" s="1"/>
      <c r="H49" s="1"/>
      <c r="I49" s="1"/>
      <c r="J49" s="1"/>
      <c r="K49" s="1"/>
      <c r="L49" s="1"/>
      <c r="M49" s="1"/>
      <c r="N49" s="1"/>
      <c r="O49" s="1"/>
      <c r="P49" s="1"/>
      <c r="Q49" s="1"/>
      <c r="R49" s="1"/>
      <c r="S49" s="1"/>
      <c r="T49" s="1"/>
      <c r="U49" s="1"/>
      <c r="V49" s="1"/>
      <c r="W49" s="1"/>
    </row>
    <row r="50" spans="1:23" ht="14.65" customHeight="1">
      <c r="G50" s="1"/>
      <c r="H50" s="1"/>
      <c r="I50" s="1"/>
      <c r="J50" s="1"/>
      <c r="K50" s="1"/>
      <c r="L50" s="1"/>
      <c r="M50" s="1"/>
      <c r="N50" s="1"/>
      <c r="O50" s="1"/>
      <c r="P50" s="1"/>
      <c r="Q50" s="1"/>
      <c r="R50" s="1"/>
      <c r="S50" s="1"/>
      <c r="T50" s="1"/>
      <c r="U50" s="1"/>
      <c r="V50" s="1"/>
      <c r="W50" s="1"/>
    </row>
    <row r="51" spans="1:23">
      <c r="G51" s="1"/>
      <c r="H51" s="1"/>
      <c r="I51" s="1"/>
      <c r="J51" s="1"/>
      <c r="K51" s="1"/>
      <c r="L51" s="1"/>
      <c r="M51" s="1"/>
      <c r="N51" s="1"/>
      <c r="O51" s="1"/>
      <c r="P51" s="1"/>
      <c r="Q51" s="1"/>
      <c r="R51" s="1"/>
      <c r="S51" s="1"/>
      <c r="T51" s="1"/>
      <c r="U51" s="1"/>
      <c r="V51" s="1"/>
      <c r="W51" s="1"/>
    </row>
    <row r="52" spans="1:23">
      <c r="G52" s="1"/>
      <c r="H52" s="1"/>
      <c r="I52" s="1"/>
      <c r="J52" s="1"/>
      <c r="K52" s="1"/>
      <c r="L52" s="1"/>
      <c r="M52" s="1"/>
      <c r="N52" s="1"/>
      <c r="O52" s="1"/>
      <c r="P52" s="1"/>
      <c r="Q52" s="1"/>
      <c r="R52" s="1"/>
      <c r="S52" s="1"/>
      <c r="T52" s="1"/>
      <c r="U52" s="1"/>
      <c r="V52" s="1"/>
      <c r="W52" s="1"/>
    </row>
    <row r="53" spans="1:23">
      <c r="G53" s="1"/>
      <c r="H53" s="1"/>
      <c r="I53" s="1"/>
      <c r="J53" s="1"/>
      <c r="K53" s="1"/>
      <c r="L53" s="1"/>
      <c r="M53" s="1"/>
      <c r="N53" s="1"/>
      <c r="O53" s="1"/>
      <c r="P53" s="1"/>
      <c r="Q53" s="1"/>
      <c r="R53" s="1"/>
      <c r="S53" s="1"/>
      <c r="T53" s="1"/>
      <c r="U53" s="1"/>
      <c r="V53" s="1"/>
      <c r="W53" s="1"/>
    </row>
    <row r="54" spans="1:23">
      <c r="G54" s="1"/>
      <c r="H54" s="1"/>
      <c r="I54" s="1"/>
      <c r="J54" s="1"/>
      <c r="K54" s="1"/>
      <c r="L54" s="1"/>
      <c r="M54" s="1"/>
      <c r="N54" s="1"/>
      <c r="O54" s="1"/>
      <c r="P54" s="1"/>
      <c r="Q54" s="1"/>
      <c r="R54" s="1"/>
      <c r="S54" s="1"/>
      <c r="T54" s="1"/>
      <c r="U54" s="1"/>
      <c r="V54" s="1"/>
      <c r="W54" s="1"/>
    </row>
    <row r="55" spans="1:23">
      <c r="G55" s="1"/>
      <c r="H55" s="1"/>
      <c r="I55" s="1"/>
      <c r="J55" s="1"/>
      <c r="K55" s="1"/>
      <c r="L55" s="1"/>
      <c r="M55" s="1"/>
      <c r="N55" s="1"/>
      <c r="O55" s="1"/>
      <c r="P55" s="1"/>
      <c r="Q55" s="1"/>
      <c r="R55" s="1"/>
      <c r="S55" s="1"/>
      <c r="T55" s="1"/>
      <c r="U55" s="1"/>
      <c r="V55" s="1"/>
      <c r="W55" s="1"/>
    </row>
    <row r="56" spans="1:23">
      <c r="G56" s="1"/>
      <c r="H56" s="1"/>
      <c r="I56" s="1"/>
      <c r="J56" s="1"/>
      <c r="K56" s="1"/>
      <c r="L56" s="1"/>
      <c r="M56" s="1"/>
      <c r="N56" s="1"/>
      <c r="O56" s="1"/>
      <c r="P56" s="1"/>
      <c r="Q56" s="1"/>
      <c r="R56" s="1"/>
      <c r="S56" s="1"/>
      <c r="T56" s="1"/>
      <c r="U56" s="1"/>
      <c r="V56" s="1"/>
      <c r="W56" s="1"/>
    </row>
    <row r="57" spans="1:23" ht="13.9" customHeight="1">
      <c r="G57" s="1"/>
      <c r="H57" s="1"/>
      <c r="I57" s="1"/>
      <c r="J57" s="1"/>
      <c r="K57" s="1"/>
      <c r="L57" s="1"/>
      <c r="M57" s="1"/>
      <c r="N57" s="1"/>
      <c r="O57" s="1"/>
      <c r="P57" s="1"/>
      <c r="Q57" s="1"/>
      <c r="R57" s="1"/>
      <c r="S57" s="1"/>
      <c r="T57" s="1"/>
      <c r="U57" s="1"/>
      <c r="V57" s="1"/>
      <c r="W57" s="1"/>
    </row>
    <row r="58" spans="1:23" ht="14.65" customHeight="1">
      <c r="G58" s="1"/>
      <c r="H58" s="1"/>
      <c r="I58" s="1"/>
      <c r="J58" s="1"/>
      <c r="K58" s="1"/>
      <c r="L58" s="1"/>
      <c r="M58" s="1"/>
      <c r="N58" s="1"/>
      <c r="O58" s="1"/>
      <c r="P58" s="1"/>
      <c r="Q58" s="1"/>
      <c r="R58" s="1"/>
      <c r="S58" s="1"/>
      <c r="T58" s="1"/>
      <c r="U58" s="1"/>
      <c r="V58" s="1"/>
      <c r="W58" s="1"/>
    </row>
    <row r="59" spans="1:23" ht="18">
      <c r="A59" s="162"/>
      <c r="B59" s="162"/>
      <c r="C59" s="162"/>
      <c r="G59" s="1"/>
      <c r="H59" s="1"/>
      <c r="I59" s="1"/>
      <c r="J59" s="1"/>
      <c r="K59" s="1"/>
      <c r="L59" s="1"/>
      <c r="M59" s="1"/>
      <c r="N59" s="1"/>
      <c r="O59" s="1"/>
      <c r="P59" s="1"/>
      <c r="Q59" s="1"/>
      <c r="R59" s="1"/>
      <c r="S59" s="1"/>
      <c r="T59" s="1"/>
      <c r="U59" s="1"/>
      <c r="V59" s="1"/>
      <c r="W59" s="1"/>
    </row>
    <row r="60" spans="1:23" ht="14.45">
      <c r="A60" s="23"/>
      <c r="B60" s="23"/>
      <c r="C60" s="23"/>
      <c r="G60" s="1"/>
      <c r="H60" s="1"/>
      <c r="I60" s="1"/>
      <c r="J60" s="1"/>
      <c r="K60" s="1"/>
      <c r="L60" s="1"/>
      <c r="M60" s="1"/>
      <c r="N60" s="1"/>
      <c r="O60" s="1"/>
      <c r="P60" s="1"/>
      <c r="Q60" s="1"/>
      <c r="R60" s="1"/>
      <c r="S60" s="1"/>
      <c r="T60" s="1"/>
      <c r="U60" s="1"/>
      <c r="V60" s="1"/>
      <c r="W60" s="1"/>
    </row>
    <row r="61" spans="1:23" ht="14.45">
      <c r="A61" s="24"/>
      <c r="B61" s="24"/>
      <c r="C61" s="25"/>
      <c r="G61" s="1"/>
      <c r="H61" s="1"/>
      <c r="I61" s="1"/>
      <c r="J61" s="1"/>
      <c r="K61" s="1"/>
      <c r="L61" s="1"/>
      <c r="M61" s="1"/>
      <c r="N61" s="1"/>
      <c r="O61" s="1"/>
      <c r="P61" s="1"/>
      <c r="Q61" s="1"/>
      <c r="R61" s="1"/>
      <c r="S61" s="1"/>
      <c r="T61" s="1"/>
      <c r="U61" s="1"/>
      <c r="V61" s="1"/>
      <c r="W61" s="1"/>
    </row>
    <row r="62" spans="1:23" ht="14.45">
      <c r="A62" s="24"/>
      <c r="B62" s="24"/>
      <c r="C62" s="25"/>
      <c r="G62" s="1"/>
      <c r="H62" s="1"/>
      <c r="I62" s="1"/>
      <c r="J62" s="1"/>
      <c r="K62" s="1"/>
      <c r="L62" s="1"/>
      <c r="M62" s="1"/>
      <c r="N62" s="1"/>
      <c r="O62" s="1"/>
      <c r="P62" s="1"/>
      <c r="Q62" s="1"/>
      <c r="R62" s="1"/>
      <c r="S62" s="1"/>
      <c r="T62" s="1"/>
      <c r="U62" s="1"/>
      <c r="V62" s="1"/>
      <c r="W62" s="1"/>
    </row>
    <row r="63" spans="1:23" ht="14.45">
      <c r="A63" s="24"/>
      <c r="B63" s="24"/>
      <c r="C63" s="25"/>
      <c r="G63" s="1"/>
      <c r="H63" s="1"/>
      <c r="I63" s="1"/>
      <c r="J63" s="1"/>
      <c r="K63" s="1"/>
      <c r="L63" s="1"/>
      <c r="M63" s="1"/>
      <c r="N63" s="1"/>
      <c r="O63" s="1"/>
      <c r="P63" s="1"/>
      <c r="Q63" s="1"/>
      <c r="R63" s="1"/>
      <c r="S63" s="1"/>
      <c r="T63" s="1"/>
      <c r="U63" s="1"/>
      <c r="V63" s="1"/>
      <c r="W63" s="1"/>
    </row>
    <row r="64" spans="1:23" ht="14.45">
      <c r="A64" s="24"/>
      <c r="B64" s="24"/>
      <c r="C64" s="25"/>
      <c r="G64" s="1"/>
      <c r="H64" s="1"/>
      <c r="I64" s="1"/>
      <c r="J64" s="1"/>
      <c r="K64" s="1"/>
      <c r="L64" s="1"/>
      <c r="M64" s="1"/>
      <c r="N64" s="1"/>
      <c r="O64" s="1"/>
      <c r="P64" s="1"/>
      <c r="Q64" s="1"/>
      <c r="R64" s="1"/>
      <c r="S64" s="1"/>
      <c r="T64" s="1"/>
      <c r="U64" s="1"/>
      <c r="V64" s="1"/>
      <c r="W64" s="1"/>
    </row>
    <row r="65" spans="1:23" ht="14.45">
      <c r="A65" s="24"/>
      <c r="B65" s="24"/>
      <c r="C65" s="25"/>
      <c r="G65" s="1"/>
      <c r="H65" s="1"/>
      <c r="I65" s="1"/>
      <c r="J65" s="1"/>
      <c r="K65" s="1"/>
      <c r="L65" s="1"/>
      <c r="M65" s="1"/>
      <c r="N65" s="1"/>
      <c r="O65" s="1"/>
      <c r="P65" s="1"/>
      <c r="Q65" s="1"/>
      <c r="R65" s="1"/>
      <c r="S65" s="1"/>
      <c r="T65" s="1"/>
      <c r="U65" s="1"/>
      <c r="V65" s="1"/>
      <c r="W65" s="1"/>
    </row>
    <row r="66" spans="1:23" ht="14.45">
      <c r="A66" s="24"/>
      <c r="B66" s="24"/>
      <c r="C66" s="25"/>
      <c r="G66" s="1"/>
      <c r="H66" s="1"/>
      <c r="I66" s="1"/>
      <c r="J66" s="1"/>
      <c r="K66" s="1"/>
      <c r="L66" s="1"/>
      <c r="M66" s="1"/>
      <c r="N66" s="1"/>
      <c r="O66" s="1"/>
      <c r="P66" s="1"/>
      <c r="Q66" s="1"/>
      <c r="R66" s="1"/>
      <c r="S66" s="1"/>
      <c r="T66" s="1"/>
      <c r="U66" s="1"/>
      <c r="V66" s="1"/>
      <c r="W66" s="1"/>
    </row>
    <row r="67" spans="1:23" ht="14.45">
      <c r="A67" s="24"/>
      <c r="B67" s="24"/>
      <c r="C67" s="25"/>
      <c r="G67" s="1"/>
      <c r="H67" s="1"/>
      <c r="I67" s="1"/>
      <c r="J67" s="1"/>
      <c r="K67" s="1"/>
      <c r="L67" s="1"/>
      <c r="M67" s="1"/>
      <c r="N67" s="1"/>
      <c r="O67" s="1"/>
      <c r="P67" s="1"/>
      <c r="Q67" s="1"/>
      <c r="R67" s="1"/>
      <c r="S67" s="1"/>
      <c r="T67" s="1"/>
      <c r="U67" s="1"/>
      <c r="V67" s="1"/>
      <c r="W67" s="1"/>
    </row>
    <row r="68" spans="1:23" ht="14.45">
      <c r="A68" s="24"/>
      <c r="B68" s="24"/>
      <c r="C68" s="25"/>
      <c r="G68" s="1"/>
      <c r="H68" s="1"/>
      <c r="I68" s="1"/>
      <c r="J68" s="1"/>
      <c r="K68" s="1"/>
      <c r="L68" s="1"/>
      <c r="M68" s="1"/>
      <c r="N68" s="1"/>
      <c r="O68" s="1"/>
      <c r="P68" s="1"/>
      <c r="Q68" s="1"/>
      <c r="R68" s="1"/>
      <c r="S68" s="1"/>
      <c r="T68" s="1"/>
      <c r="U68" s="1"/>
      <c r="V68" s="1"/>
      <c r="W68" s="1"/>
    </row>
    <row r="69" spans="1:23" ht="14.45">
      <c r="A69" s="24"/>
      <c r="B69" s="24"/>
      <c r="C69" s="25"/>
      <c r="G69" s="1"/>
      <c r="H69" s="1"/>
      <c r="I69" s="1"/>
      <c r="J69" s="1"/>
      <c r="K69" s="1"/>
      <c r="L69" s="1"/>
      <c r="M69" s="1"/>
      <c r="N69" s="1"/>
      <c r="O69" s="1"/>
      <c r="P69" s="1"/>
      <c r="Q69" s="1"/>
      <c r="R69" s="1"/>
      <c r="S69" s="1"/>
      <c r="T69" s="1"/>
      <c r="U69" s="1"/>
      <c r="V69" s="1"/>
      <c r="W69" s="1"/>
    </row>
    <row r="70" spans="1:23" ht="14.45">
      <c r="A70" s="24"/>
      <c r="B70" s="24"/>
      <c r="C70" s="25"/>
      <c r="G70" s="1"/>
      <c r="H70" s="1"/>
      <c r="I70" s="1"/>
      <c r="J70" s="1"/>
      <c r="K70" s="1"/>
      <c r="L70" s="1"/>
      <c r="M70" s="1"/>
      <c r="N70" s="1"/>
      <c r="O70" s="1"/>
      <c r="P70" s="1"/>
      <c r="Q70" s="1"/>
      <c r="R70" s="1"/>
      <c r="S70" s="1"/>
      <c r="T70" s="1"/>
      <c r="U70" s="1"/>
      <c r="V70" s="1"/>
      <c r="W70" s="1"/>
    </row>
    <row r="71" spans="1:23" ht="14.45">
      <c r="A71" s="24"/>
      <c r="B71" s="24"/>
      <c r="C71" s="25"/>
      <c r="G71" s="1"/>
      <c r="H71" s="1"/>
      <c r="I71" s="1"/>
      <c r="J71" s="1"/>
      <c r="K71" s="1"/>
      <c r="L71" s="1"/>
      <c r="M71" s="1"/>
      <c r="N71" s="1"/>
      <c r="O71" s="1"/>
      <c r="P71" s="1"/>
      <c r="Q71" s="1"/>
      <c r="R71" s="1"/>
      <c r="S71" s="1"/>
      <c r="T71" s="1"/>
      <c r="U71" s="1"/>
      <c r="V71" s="1"/>
      <c r="W71" s="1"/>
    </row>
    <row r="72" spans="1:23" ht="14.45">
      <c r="A72" s="24"/>
      <c r="B72" s="24"/>
      <c r="C72" s="25"/>
      <c r="G72" s="1"/>
      <c r="H72" s="1"/>
      <c r="I72" s="1"/>
      <c r="J72" s="1"/>
      <c r="K72" s="1"/>
      <c r="L72" s="1"/>
      <c r="M72" s="1"/>
      <c r="N72" s="1"/>
      <c r="O72" s="1"/>
      <c r="P72" s="1"/>
      <c r="Q72" s="1"/>
      <c r="R72" s="1"/>
      <c r="S72" s="1"/>
      <c r="T72" s="1"/>
      <c r="U72" s="1"/>
      <c r="V72" s="1"/>
      <c r="W72" s="1"/>
    </row>
    <row r="73" spans="1:23" ht="14.45">
      <c r="A73" s="24"/>
      <c r="B73" s="24"/>
      <c r="C73" s="25"/>
      <c r="G73" s="1"/>
      <c r="H73" s="1"/>
      <c r="I73" s="1"/>
      <c r="J73" s="1"/>
      <c r="K73" s="1"/>
      <c r="L73" s="1"/>
      <c r="M73" s="1"/>
      <c r="N73" s="1"/>
      <c r="O73" s="1"/>
      <c r="P73" s="1"/>
      <c r="Q73" s="1"/>
      <c r="R73" s="1"/>
      <c r="S73" s="1"/>
      <c r="T73" s="1"/>
      <c r="U73" s="1"/>
      <c r="V73" s="1"/>
      <c r="W73" s="1"/>
    </row>
    <row r="74" spans="1:23" ht="14.45">
      <c r="A74" s="24"/>
      <c r="B74" s="24"/>
      <c r="C74" s="25"/>
      <c r="G74" s="1"/>
      <c r="H74" s="1"/>
      <c r="I74" s="1"/>
      <c r="J74" s="1"/>
      <c r="K74" s="1"/>
      <c r="L74" s="1"/>
      <c r="M74" s="1"/>
      <c r="N74" s="1"/>
      <c r="O74" s="1"/>
      <c r="P74" s="1"/>
      <c r="Q74" s="1"/>
      <c r="R74" s="1"/>
      <c r="S74" s="1"/>
      <c r="T74" s="1"/>
      <c r="U74" s="1"/>
      <c r="V74" s="1"/>
      <c r="W74" s="1"/>
    </row>
    <row r="75" spans="1:23" ht="14.45">
      <c r="A75" s="24"/>
      <c r="B75" s="24"/>
      <c r="C75" s="25"/>
      <c r="G75" s="1"/>
      <c r="H75" s="1"/>
      <c r="I75" s="1"/>
      <c r="J75" s="1"/>
      <c r="K75" s="1"/>
      <c r="L75" s="1"/>
      <c r="M75" s="1"/>
      <c r="N75" s="1"/>
      <c r="O75" s="1"/>
      <c r="P75" s="1"/>
      <c r="Q75" s="1"/>
      <c r="R75" s="1"/>
      <c r="S75" s="1"/>
      <c r="T75" s="1"/>
      <c r="U75" s="1"/>
      <c r="V75" s="1"/>
      <c r="W75" s="1"/>
    </row>
    <row r="76" spans="1:23" ht="14.45">
      <c r="A76" s="24"/>
      <c r="B76" s="24"/>
      <c r="C76" s="25"/>
      <c r="G76" s="1"/>
      <c r="H76" s="1"/>
      <c r="I76" s="1"/>
      <c r="J76" s="1"/>
      <c r="K76" s="1"/>
      <c r="L76" s="1"/>
      <c r="M76" s="1"/>
      <c r="N76" s="1"/>
      <c r="O76" s="1"/>
      <c r="P76" s="1"/>
      <c r="Q76" s="1"/>
      <c r="R76" s="1"/>
      <c r="S76" s="1"/>
      <c r="T76" s="1"/>
      <c r="U76" s="1"/>
      <c r="V76" s="1"/>
      <c r="W76" s="1"/>
    </row>
    <row r="77" spans="1:23" ht="14.45">
      <c r="A77" s="24"/>
      <c r="B77" s="24"/>
      <c r="C77" s="25"/>
      <c r="G77" s="1"/>
      <c r="H77" s="1"/>
      <c r="I77" s="1"/>
      <c r="J77" s="1"/>
      <c r="K77" s="1"/>
      <c r="L77" s="1"/>
      <c r="M77" s="1"/>
      <c r="N77" s="1"/>
      <c r="O77" s="1"/>
      <c r="P77" s="1"/>
      <c r="Q77" s="1"/>
      <c r="R77" s="1"/>
      <c r="S77" s="1"/>
      <c r="T77" s="1"/>
      <c r="U77" s="1"/>
      <c r="V77" s="1"/>
      <c r="W77" s="1"/>
    </row>
    <row r="78" spans="1:23" ht="14.45">
      <c r="A78" s="24"/>
      <c r="B78" s="24"/>
      <c r="C78" s="25"/>
      <c r="G78" s="1"/>
      <c r="H78" s="1"/>
      <c r="I78" s="1"/>
      <c r="J78" s="1"/>
      <c r="K78" s="1"/>
      <c r="L78" s="1"/>
      <c r="M78" s="1"/>
      <c r="N78" s="1"/>
      <c r="O78" s="1"/>
      <c r="P78" s="1"/>
      <c r="Q78" s="1"/>
      <c r="R78" s="1"/>
      <c r="S78" s="1"/>
      <c r="T78" s="1"/>
      <c r="U78" s="1"/>
      <c r="V78" s="1"/>
      <c r="W78" s="1"/>
    </row>
    <row r="79" spans="1:23" ht="14.45">
      <c r="A79" s="24"/>
      <c r="B79" s="24"/>
      <c r="C79" s="25"/>
      <c r="G79" s="1"/>
      <c r="H79" s="1"/>
      <c r="I79" s="1"/>
      <c r="J79" s="1"/>
      <c r="K79" s="1"/>
      <c r="L79" s="1"/>
      <c r="M79" s="1"/>
      <c r="N79" s="1"/>
      <c r="O79" s="1"/>
      <c r="P79" s="1"/>
      <c r="Q79" s="1"/>
      <c r="R79" s="1"/>
      <c r="S79" s="1"/>
      <c r="T79" s="1"/>
      <c r="U79" s="1"/>
      <c r="V79" s="1"/>
      <c r="W79" s="1"/>
    </row>
    <row r="80" spans="1:23" ht="14.45">
      <c r="A80" s="24"/>
      <c r="B80" s="24"/>
      <c r="C80" s="25"/>
      <c r="G80" s="1"/>
      <c r="H80" s="1"/>
      <c r="I80" s="1"/>
      <c r="J80" s="1"/>
      <c r="K80" s="1"/>
      <c r="L80" s="1"/>
      <c r="M80" s="1"/>
      <c r="N80" s="1"/>
      <c r="O80" s="1"/>
      <c r="P80" s="1"/>
      <c r="Q80" s="1"/>
      <c r="R80" s="1"/>
      <c r="S80" s="1"/>
      <c r="T80" s="1"/>
      <c r="U80" s="1"/>
      <c r="V80" s="1"/>
      <c r="W80" s="1"/>
    </row>
    <row r="81" spans="2:23">
      <c r="B81" s="16"/>
      <c r="G81" s="1"/>
      <c r="H81" s="1"/>
      <c r="I81" s="1"/>
      <c r="J81" s="1"/>
      <c r="K81" s="1"/>
      <c r="L81" s="1"/>
      <c r="M81" s="1"/>
      <c r="N81" s="1"/>
      <c r="O81" s="1"/>
      <c r="P81" s="1"/>
      <c r="Q81" s="1"/>
      <c r="R81" s="1"/>
      <c r="S81" s="1"/>
      <c r="T81" s="1"/>
      <c r="U81" s="1"/>
      <c r="V81" s="1"/>
      <c r="W81" s="1"/>
    </row>
    <row r="82" spans="2:23">
      <c r="B82" s="16"/>
      <c r="G82" s="1"/>
      <c r="H82" s="1"/>
      <c r="I82" s="1"/>
      <c r="J82" s="1"/>
      <c r="K82" s="1"/>
      <c r="L82" s="1"/>
      <c r="M82" s="1"/>
      <c r="N82" s="1"/>
      <c r="O82" s="1"/>
      <c r="P82" s="1"/>
      <c r="Q82" s="1"/>
      <c r="R82" s="1"/>
      <c r="S82" s="1"/>
      <c r="T82" s="1"/>
      <c r="U82" s="1"/>
      <c r="V82" s="1"/>
      <c r="W82" s="1"/>
    </row>
    <row r="83" spans="2:23">
      <c r="B83" s="16"/>
      <c r="G83" s="1"/>
      <c r="H83" s="1"/>
      <c r="I83" s="1"/>
      <c r="J83" s="1"/>
      <c r="K83" s="1"/>
      <c r="L83" s="1"/>
      <c r="M83" s="1"/>
      <c r="N83" s="1"/>
      <c r="O83" s="1"/>
      <c r="P83" s="1"/>
      <c r="Q83" s="1"/>
      <c r="R83" s="1"/>
      <c r="S83" s="1"/>
      <c r="T83" s="1"/>
      <c r="U83" s="1"/>
      <c r="V83" s="1"/>
      <c r="W83" s="1"/>
    </row>
    <row r="84" spans="2:23">
      <c r="B84" s="16"/>
      <c r="G84" s="1"/>
      <c r="H84" s="1"/>
      <c r="I84" s="1"/>
      <c r="J84" s="1"/>
      <c r="K84" s="1"/>
      <c r="L84" s="1"/>
      <c r="M84" s="1"/>
      <c r="N84" s="1"/>
      <c r="O84" s="1"/>
      <c r="P84" s="1"/>
      <c r="Q84" s="1"/>
      <c r="R84" s="1"/>
      <c r="S84" s="1"/>
      <c r="T84" s="1"/>
      <c r="U84" s="1"/>
      <c r="V84" s="1"/>
      <c r="W84" s="1"/>
    </row>
    <row r="85" spans="2:23">
      <c r="G85" s="1"/>
      <c r="H85" s="1"/>
      <c r="I85" s="1"/>
      <c r="J85" s="1"/>
      <c r="K85" s="1"/>
      <c r="L85" s="1"/>
      <c r="M85" s="1"/>
      <c r="N85" s="1"/>
      <c r="O85" s="1"/>
      <c r="P85" s="1"/>
      <c r="Q85" s="1"/>
      <c r="R85" s="1"/>
      <c r="S85" s="1"/>
      <c r="T85" s="1"/>
      <c r="U85" s="1"/>
      <c r="V85" s="1"/>
      <c r="W85" s="1"/>
    </row>
    <row r="86" spans="2:23">
      <c r="G86" s="1"/>
      <c r="H86" s="1"/>
      <c r="I86" s="1"/>
      <c r="J86" s="1"/>
      <c r="K86" s="1"/>
      <c r="L86" s="1"/>
      <c r="M86" s="1"/>
      <c r="N86" s="1"/>
      <c r="O86" s="1"/>
      <c r="P86" s="1"/>
      <c r="Q86" s="1"/>
      <c r="R86" s="1"/>
      <c r="S86" s="1"/>
      <c r="T86" s="1"/>
      <c r="U86" s="1"/>
      <c r="V86" s="1"/>
      <c r="W86" s="1"/>
    </row>
  </sheetData>
  <mergeCells count="2">
    <mergeCell ref="A59:C59"/>
    <mergeCell ref="C4:C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43C66-2FA5-4937-AE05-7B2786D819BD}">
  <dimension ref="A1:Q57"/>
  <sheetViews>
    <sheetView tabSelected="1" zoomScale="85" zoomScaleNormal="85" workbookViewId="0">
      <selection activeCell="O10" sqref="O10"/>
    </sheetView>
  </sheetViews>
  <sheetFormatPr defaultColWidth="8.85546875" defaultRowHeight="14.45"/>
  <cols>
    <col min="1" max="1" width="24.5703125" customWidth="1"/>
    <col min="2" max="2" width="24.140625" customWidth="1"/>
    <col min="3" max="3" width="16.5703125" customWidth="1"/>
    <col min="4" max="4" width="20.140625" customWidth="1"/>
    <col min="5" max="5" width="20.85546875" customWidth="1"/>
    <col min="6" max="6" width="21" customWidth="1"/>
    <col min="7" max="7" width="16.5703125" customWidth="1"/>
    <col min="8" max="8" width="14.28515625" customWidth="1"/>
    <col min="9" max="9" width="15" customWidth="1"/>
    <col min="10" max="10" width="18.5703125" customWidth="1"/>
    <col min="11" max="11" width="18.28515625" customWidth="1"/>
    <col min="12" max="13" width="22.5703125" customWidth="1"/>
    <col min="14" max="18" width="19.28515625" customWidth="1"/>
    <col min="19" max="20" width="18.5703125" customWidth="1"/>
    <col min="21" max="21" width="13.5703125" customWidth="1"/>
  </cols>
  <sheetData>
    <row r="1" spans="1:17" ht="77.45">
      <c r="A1" s="50" t="s">
        <v>6</v>
      </c>
      <c r="B1" s="51" t="s">
        <v>85</v>
      </c>
      <c r="C1" s="51" t="s">
        <v>86</v>
      </c>
      <c r="E1" s="50" t="s">
        <v>6</v>
      </c>
      <c r="F1" s="51" t="s">
        <v>85</v>
      </c>
      <c r="G1" s="51" t="s">
        <v>87</v>
      </c>
      <c r="I1" s="50" t="s">
        <v>6</v>
      </c>
      <c r="J1" s="51" t="s">
        <v>88</v>
      </c>
      <c r="K1" s="51" t="s">
        <v>89</v>
      </c>
      <c r="M1" s="50" t="s">
        <v>6</v>
      </c>
      <c r="N1" s="51" t="s">
        <v>85</v>
      </c>
      <c r="O1" s="51" t="s">
        <v>90</v>
      </c>
      <c r="P1" s="107" t="s">
        <v>91</v>
      </c>
      <c r="Q1" s="51" t="s">
        <v>92</v>
      </c>
    </row>
    <row r="2" spans="1:17" ht="15">
      <c r="A2" s="52" t="s">
        <v>93</v>
      </c>
      <c r="B2" s="81">
        <v>51764</v>
      </c>
      <c r="C2" s="81">
        <v>9766.8031371428588</v>
      </c>
      <c r="D2" s="66"/>
      <c r="E2" s="130" t="s">
        <v>93</v>
      </c>
      <c r="F2" s="80">
        <v>51764</v>
      </c>
      <c r="G2" s="64">
        <v>1065.4554742857147</v>
      </c>
      <c r="I2" s="52" t="s">
        <v>93</v>
      </c>
      <c r="J2" s="62">
        <v>5258</v>
      </c>
      <c r="K2" s="62">
        <v>0</v>
      </c>
      <c r="M2" s="52" t="s">
        <v>93</v>
      </c>
      <c r="N2" s="80">
        <v>51764</v>
      </c>
      <c r="O2" s="80">
        <v>0</v>
      </c>
      <c r="P2" s="80" t="s">
        <v>94</v>
      </c>
      <c r="Q2" s="62">
        <v>0</v>
      </c>
    </row>
    <row r="3" spans="1:17" ht="15">
      <c r="A3" s="52">
        <v>2018</v>
      </c>
      <c r="B3" s="81">
        <v>51764</v>
      </c>
      <c r="C3" s="81">
        <v>27347.052291428576</v>
      </c>
      <c r="E3" s="130">
        <v>2018</v>
      </c>
      <c r="F3" s="80">
        <v>51764</v>
      </c>
      <c r="G3" s="64">
        <v>1576.7216457142858</v>
      </c>
      <c r="I3" s="52">
        <v>2018</v>
      </c>
      <c r="J3" s="62">
        <v>5258</v>
      </c>
      <c r="K3" s="62">
        <v>0</v>
      </c>
      <c r="M3" s="52">
        <v>2018</v>
      </c>
      <c r="N3" s="80">
        <v>51764</v>
      </c>
      <c r="O3" s="80">
        <v>0</v>
      </c>
      <c r="P3" s="62">
        <v>0</v>
      </c>
      <c r="Q3" s="62">
        <v>0</v>
      </c>
    </row>
    <row r="4" spans="1:17" ht="15">
      <c r="A4" s="52">
        <v>2019</v>
      </c>
      <c r="B4" s="81">
        <v>51764</v>
      </c>
      <c r="C4" s="81">
        <v>21424.846834285716</v>
      </c>
      <c r="E4" s="130">
        <v>2019</v>
      </c>
      <c r="F4" s="80">
        <v>51764</v>
      </c>
      <c r="G4" s="64">
        <v>1872.7797942857144</v>
      </c>
      <c r="I4" s="52">
        <v>2019</v>
      </c>
      <c r="J4" s="62">
        <v>5258</v>
      </c>
      <c r="K4" s="62">
        <v>0</v>
      </c>
      <c r="M4" s="52">
        <v>2019</v>
      </c>
      <c r="N4" s="80">
        <v>51764</v>
      </c>
      <c r="O4" s="80">
        <v>230461.56278863334</v>
      </c>
      <c r="P4" s="80">
        <f>Uncertainty!N6+Uncertainty!N16+Uncertainty!N26</f>
        <v>2160.0124822185048</v>
      </c>
      <c r="Q4" s="104">
        <f>O4-P4</f>
        <v>228301.55030641484</v>
      </c>
    </row>
    <row r="5" spans="1:17" ht="15">
      <c r="A5" s="52">
        <v>2020</v>
      </c>
      <c r="B5" s="81">
        <v>51764</v>
      </c>
      <c r="C5" s="81">
        <v>17580.231617142861</v>
      </c>
      <c r="E5" s="130">
        <v>2020</v>
      </c>
      <c r="F5" s="80">
        <v>51764</v>
      </c>
      <c r="G5" s="64">
        <v>2081.4484114285715</v>
      </c>
      <c r="I5" s="52">
        <v>2020</v>
      </c>
      <c r="J5" s="62">
        <v>5258</v>
      </c>
      <c r="K5" s="62">
        <v>0</v>
      </c>
      <c r="M5" s="52">
        <v>2020</v>
      </c>
      <c r="N5" s="80">
        <v>51764</v>
      </c>
      <c r="O5" s="80">
        <v>234050.5488664115</v>
      </c>
      <c r="P5" s="80">
        <f>Uncertainty!N7+Uncertainty!N17+Uncertainty!N27</f>
        <v>1804.5009730124948</v>
      </c>
      <c r="Q5" s="104">
        <f t="shared" ref="Q5:Q7" si="0">O5-P5</f>
        <v>232246.04789339899</v>
      </c>
    </row>
    <row r="6" spans="1:17" ht="15">
      <c r="A6" s="52">
        <v>2021</v>
      </c>
      <c r="B6" s="81">
        <v>51764</v>
      </c>
      <c r="C6" s="81">
        <v>11720.160257142859</v>
      </c>
      <c r="E6" s="130">
        <v>2021</v>
      </c>
      <c r="F6" s="80">
        <v>51764</v>
      </c>
      <c r="G6" s="64">
        <v>2497.7412114285721</v>
      </c>
      <c r="I6" s="52">
        <v>2021</v>
      </c>
      <c r="J6" s="62">
        <v>5258</v>
      </c>
      <c r="K6" s="62">
        <v>0</v>
      </c>
      <c r="M6" s="52">
        <v>2021</v>
      </c>
      <c r="N6" s="80">
        <v>51764</v>
      </c>
      <c r="O6" s="80">
        <v>238824.88195517042</v>
      </c>
      <c r="P6" s="80">
        <f>Uncertainty!N8+Uncertainty!N18+Uncertainty!N28</f>
        <v>2704.1521906140133</v>
      </c>
      <c r="Q6" s="104">
        <f t="shared" si="0"/>
        <v>236120.7297645564</v>
      </c>
    </row>
    <row r="7" spans="1:17" ht="15" customHeight="1">
      <c r="A7" s="52" t="s">
        <v>95</v>
      </c>
      <c r="B7" s="81">
        <v>51764</v>
      </c>
      <c r="C7" s="81">
        <v>19177</v>
      </c>
      <c r="E7" s="130" t="s">
        <v>95</v>
      </c>
      <c r="F7" s="80">
        <v>51764</v>
      </c>
      <c r="G7" s="64">
        <v>4540.8417371428577</v>
      </c>
      <c r="I7" s="52" t="s">
        <v>95</v>
      </c>
      <c r="J7" s="62">
        <v>5258</v>
      </c>
      <c r="K7" s="62">
        <v>67218.334333333332</v>
      </c>
      <c r="M7" s="52" t="s">
        <v>95</v>
      </c>
      <c r="N7" s="80">
        <v>51764</v>
      </c>
      <c r="O7" s="80">
        <v>252695.31221595712</v>
      </c>
      <c r="P7" s="80">
        <f>Uncertainty!N9+Uncertainty!N19+Uncertainty!N29</f>
        <v>2647.5929623989996</v>
      </c>
      <c r="Q7" s="104">
        <f t="shared" si="0"/>
        <v>250047.71925355811</v>
      </c>
    </row>
    <row r="8" spans="1:17" ht="15.75" customHeight="1">
      <c r="A8" s="58" t="s">
        <v>96</v>
      </c>
      <c r="B8" s="81">
        <v>51994</v>
      </c>
      <c r="C8" s="82">
        <f>SUM(C2:C7)</f>
        <v>107016.09413714288</v>
      </c>
      <c r="E8" s="131" t="s">
        <v>96</v>
      </c>
      <c r="F8" s="80">
        <v>51764</v>
      </c>
      <c r="G8" s="65">
        <f>SUM(G2:G7)</f>
        <v>13634.988274285715</v>
      </c>
      <c r="I8" s="58" t="s">
        <v>96</v>
      </c>
      <c r="J8" s="62">
        <v>5258</v>
      </c>
      <c r="K8" s="63">
        <f>SUM(K2:K7)</f>
        <v>67218.334333333332</v>
      </c>
      <c r="M8" s="58" t="s">
        <v>96</v>
      </c>
      <c r="N8" s="80">
        <v>51764</v>
      </c>
      <c r="O8" s="108">
        <f>SUM(O4:O7)</f>
        <v>956032.30582617235</v>
      </c>
      <c r="P8" s="127">
        <f>SUM(P4:P7)</f>
        <v>9316.2586082440121</v>
      </c>
      <c r="Q8" s="63">
        <f>SUM(Q2:Q7)</f>
        <v>946716.04721792834</v>
      </c>
    </row>
    <row r="9" spans="1:17">
      <c r="Q9" s="129"/>
    </row>
    <row r="11" spans="1:17" ht="15.6">
      <c r="D11" s="164" t="s">
        <v>97</v>
      </c>
      <c r="E11" s="165"/>
      <c r="F11" s="165"/>
      <c r="G11" s="165"/>
      <c r="H11" s="165"/>
      <c r="I11" s="165"/>
      <c r="J11" s="165"/>
      <c r="K11" s="165"/>
      <c r="L11" s="166"/>
    </row>
    <row r="12" spans="1:17" ht="91.15">
      <c r="D12" s="50" t="s">
        <v>6</v>
      </c>
      <c r="E12" s="51" t="s">
        <v>86</v>
      </c>
      <c r="F12" s="51" t="s">
        <v>98</v>
      </c>
      <c r="G12" s="51" t="s">
        <v>99</v>
      </c>
      <c r="H12" s="51" t="s">
        <v>100</v>
      </c>
      <c r="I12" s="51" t="s">
        <v>101</v>
      </c>
      <c r="J12" s="51" t="s">
        <v>102</v>
      </c>
      <c r="K12" s="51" t="s">
        <v>103</v>
      </c>
      <c r="L12" s="51" t="s">
        <v>104</v>
      </c>
    </row>
    <row r="13" spans="1:17" ht="15">
      <c r="A13" s="17"/>
      <c r="D13" s="52" t="s">
        <v>93</v>
      </c>
      <c r="E13" s="53">
        <f>C2</f>
        <v>9766.8031371428588</v>
      </c>
      <c r="F13" s="53">
        <v>0</v>
      </c>
      <c r="G13" s="54">
        <v>0</v>
      </c>
      <c r="H13" s="53">
        <v>0</v>
      </c>
      <c r="I13" s="53">
        <v>0</v>
      </c>
      <c r="J13" s="54">
        <f t="shared" ref="J13:J18" si="1">0*B13</f>
        <v>0</v>
      </c>
      <c r="K13" s="56">
        <f>E13+F13+H13-I13</f>
        <v>9766.8031371428588</v>
      </c>
      <c r="L13" s="56">
        <f>SUM(E13,F13,G13,H13)</f>
        <v>9766.8031371428588</v>
      </c>
    </row>
    <row r="14" spans="1:17" ht="15">
      <c r="A14" s="17"/>
      <c r="D14" s="52">
        <v>2018</v>
      </c>
      <c r="E14" s="53">
        <f>C3</f>
        <v>27347.052291428576</v>
      </c>
      <c r="F14" s="53">
        <v>0</v>
      </c>
      <c r="G14" s="54">
        <v>0</v>
      </c>
      <c r="H14" s="53">
        <v>0</v>
      </c>
      <c r="I14" s="53">
        <v>0</v>
      </c>
      <c r="J14" s="54">
        <f t="shared" si="1"/>
        <v>0</v>
      </c>
      <c r="K14" s="56">
        <f t="shared" ref="K14" si="2">E14+F14+H14-I14</f>
        <v>27347.052291428576</v>
      </c>
      <c r="L14" s="56">
        <f t="shared" ref="L14:L16" si="3">SUM(E14,F14,G14,H14)</f>
        <v>27347.052291428576</v>
      </c>
    </row>
    <row r="15" spans="1:17" ht="15">
      <c r="A15" s="17"/>
      <c r="D15" s="52">
        <v>2019</v>
      </c>
      <c r="E15" s="53">
        <f t="shared" ref="E15:E18" si="4">C4</f>
        <v>21424.846834285716</v>
      </c>
      <c r="F15" s="53">
        <v>0</v>
      </c>
      <c r="G15" s="54">
        <v>0</v>
      </c>
      <c r="H15" s="53">
        <v>0</v>
      </c>
      <c r="I15" s="53">
        <v>0</v>
      </c>
      <c r="J15" s="54">
        <f t="shared" si="1"/>
        <v>0</v>
      </c>
      <c r="K15" s="56">
        <f>E15+F15+H15-I15</f>
        <v>21424.846834285716</v>
      </c>
      <c r="L15" s="56">
        <f t="shared" si="3"/>
        <v>21424.846834285716</v>
      </c>
    </row>
    <row r="16" spans="1:17" ht="15">
      <c r="A16" s="17"/>
      <c r="D16" s="52">
        <v>2020</v>
      </c>
      <c r="E16" s="53">
        <f t="shared" si="4"/>
        <v>17580.231617142861</v>
      </c>
      <c r="F16" s="53">
        <v>0</v>
      </c>
      <c r="G16" s="54">
        <v>0</v>
      </c>
      <c r="H16" s="53">
        <v>0</v>
      </c>
      <c r="I16" s="53">
        <v>0</v>
      </c>
      <c r="J16" s="54">
        <f t="shared" si="1"/>
        <v>0</v>
      </c>
      <c r="K16" s="56">
        <f>E16+F16+H16-I16</f>
        <v>17580.231617142861</v>
      </c>
      <c r="L16" s="56">
        <f t="shared" si="3"/>
        <v>17580.231617142861</v>
      </c>
    </row>
    <row r="17" spans="1:12" ht="15">
      <c r="A17" s="17"/>
      <c r="D17" s="52">
        <v>2021</v>
      </c>
      <c r="E17" s="53">
        <f t="shared" si="4"/>
        <v>11720.160257142859</v>
      </c>
      <c r="F17" s="53">
        <v>0</v>
      </c>
      <c r="G17" s="54">
        <v>0</v>
      </c>
      <c r="H17" s="53">
        <v>0</v>
      </c>
      <c r="I17" s="53">
        <v>0</v>
      </c>
      <c r="J17" s="54">
        <f t="shared" si="1"/>
        <v>0</v>
      </c>
      <c r="K17" s="56">
        <f>E17+F17+H17-I17</f>
        <v>11720.160257142859</v>
      </c>
      <c r="L17" s="56">
        <f>SUM(E17,F17,G17,H17)</f>
        <v>11720.160257142859</v>
      </c>
    </row>
    <row r="18" spans="1:12" ht="15">
      <c r="A18" s="17"/>
      <c r="D18" s="52" t="s">
        <v>95</v>
      </c>
      <c r="E18" s="53">
        <f t="shared" si="4"/>
        <v>19177</v>
      </c>
      <c r="F18" s="53">
        <v>0</v>
      </c>
      <c r="G18" s="54">
        <v>0</v>
      </c>
      <c r="H18" s="53">
        <v>0</v>
      </c>
      <c r="I18" s="53">
        <v>0</v>
      </c>
      <c r="J18" s="54">
        <f t="shared" si="1"/>
        <v>0</v>
      </c>
      <c r="K18" s="56">
        <f>E18+F18+H18-I18</f>
        <v>19177</v>
      </c>
      <c r="L18" s="56">
        <f>SUM(E18,F18,G18,H18)</f>
        <v>19177</v>
      </c>
    </row>
    <row r="19" spans="1:12" ht="15">
      <c r="A19" s="17"/>
      <c r="D19" s="58" t="s">
        <v>96</v>
      </c>
      <c r="E19" s="57">
        <f t="shared" ref="E19:L19" si="5">SUM(E13:E18)</f>
        <v>107016.09413714288</v>
      </c>
      <c r="F19" s="57">
        <f t="shared" si="5"/>
        <v>0</v>
      </c>
      <c r="G19" s="57">
        <f t="shared" si="5"/>
        <v>0</v>
      </c>
      <c r="H19" s="57">
        <f t="shared" si="5"/>
        <v>0</v>
      </c>
      <c r="I19" s="57">
        <f t="shared" si="5"/>
        <v>0</v>
      </c>
      <c r="J19" s="57">
        <f t="shared" si="5"/>
        <v>0</v>
      </c>
      <c r="K19" s="57">
        <f t="shared" si="5"/>
        <v>107016.09413714288</v>
      </c>
      <c r="L19" s="57">
        <f t="shared" si="5"/>
        <v>107016.09413714288</v>
      </c>
    </row>
    <row r="21" spans="1:12" ht="15.6">
      <c r="D21" s="164" t="s">
        <v>105</v>
      </c>
      <c r="E21" s="165"/>
      <c r="F21" s="165"/>
      <c r="G21" s="165"/>
      <c r="H21" s="165"/>
      <c r="I21" s="165"/>
      <c r="J21" s="165"/>
      <c r="K21" s="166"/>
    </row>
    <row r="22" spans="1:12" ht="91.15">
      <c r="D22" s="50" t="s">
        <v>6</v>
      </c>
      <c r="E22" s="51" t="s">
        <v>87</v>
      </c>
      <c r="F22" s="51" t="s">
        <v>106</v>
      </c>
      <c r="G22" s="51" t="s">
        <v>107</v>
      </c>
      <c r="H22" s="51" t="s">
        <v>108</v>
      </c>
      <c r="I22" s="51" t="s">
        <v>89</v>
      </c>
      <c r="J22" s="51" t="s">
        <v>90</v>
      </c>
      <c r="K22" s="51" t="s">
        <v>109</v>
      </c>
    </row>
    <row r="23" spans="1:12" ht="15">
      <c r="D23" s="52" t="s">
        <v>93</v>
      </c>
      <c r="E23" s="53">
        <f>G2</f>
        <v>1065.4554742857147</v>
      </c>
      <c r="F23" s="53">
        <v>0</v>
      </c>
      <c r="G23" s="54">
        <v>0</v>
      </c>
      <c r="H23" s="54">
        <v>0</v>
      </c>
      <c r="I23" s="55">
        <f t="shared" ref="I23:I28" si="6">K2</f>
        <v>0</v>
      </c>
      <c r="J23" s="55">
        <f t="shared" ref="J23:J27" si="7">Q2</f>
        <v>0</v>
      </c>
      <c r="K23" s="56">
        <f>E23+F23+G23+H23-I23-J23</f>
        <v>1065.4554742857147</v>
      </c>
    </row>
    <row r="24" spans="1:12" ht="15">
      <c r="D24" s="52">
        <v>2018</v>
      </c>
      <c r="E24" s="53">
        <f t="shared" ref="E24:E28" si="8">G3</f>
        <v>1576.7216457142858</v>
      </c>
      <c r="F24" s="53">
        <v>0</v>
      </c>
      <c r="G24" s="54">
        <v>0</v>
      </c>
      <c r="H24" s="54">
        <v>0</v>
      </c>
      <c r="I24" s="55">
        <f t="shared" si="6"/>
        <v>0</v>
      </c>
      <c r="J24" s="55">
        <f t="shared" si="7"/>
        <v>0</v>
      </c>
      <c r="K24" s="56">
        <f t="shared" ref="K24:K27" si="9">E24+F24+G24+H24-I24-J24</f>
        <v>1576.7216457142858</v>
      </c>
    </row>
    <row r="25" spans="1:12" ht="15">
      <c r="D25" s="52">
        <v>2019</v>
      </c>
      <c r="E25" s="53">
        <f t="shared" si="8"/>
        <v>1872.7797942857144</v>
      </c>
      <c r="F25" s="53">
        <v>0</v>
      </c>
      <c r="G25" s="54">
        <v>0</v>
      </c>
      <c r="H25" s="54">
        <v>0</v>
      </c>
      <c r="I25" s="55">
        <f t="shared" si="6"/>
        <v>0</v>
      </c>
      <c r="J25" s="55">
        <f>Q4</f>
        <v>228301.55030641484</v>
      </c>
      <c r="K25" s="56">
        <f>E25+F25+G25+H25-I25-J25</f>
        <v>-226428.77051212912</v>
      </c>
    </row>
    <row r="26" spans="1:12" ht="15">
      <c r="D26" s="52">
        <v>2020</v>
      </c>
      <c r="E26" s="53">
        <f t="shared" si="8"/>
        <v>2081.4484114285715</v>
      </c>
      <c r="F26" s="53">
        <v>0</v>
      </c>
      <c r="G26" s="54">
        <v>0</v>
      </c>
      <c r="H26" s="54">
        <v>0</v>
      </c>
      <c r="I26" s="55">
        <f t="shared" si="6"/>
        <v>0</v>
      </c>
      <c r="J26" s="55">
        <f t="shared" si="7"/>
        <v>232246.04789339899</v>
      </c>
      <c r="K26" s="56">
        <f t="shared" si="9"/>
        <v>-230164.59948197042</v>
      </c>
    </row>
    <row r="27" spans="1:12" ht="15">
      <c r="D27" s="52">
        <v>2021</v>
      </c>
      <c r="E27" s="53">
        <f t="shared" si="8"/>
        <v>2497.7412114285721</v>
      </c>
      <c r="F27" s="57">
        <v>0</v>
      </c>
      <c r="G27" s="57">
        <f>SUM(G23:G26)</f>
        <v>0</v>
      </c>
      <c r="H27" s="54">
        <v>0</v>
      </c>
      <c r="I27" s="55">
        <f t="shared" si="6"/>
        <v>0</v>
      </c>
      <c r="J27" s="55">
        <f t="shared" si="7"/>
        <v>236120.7297645564</v>
      </c>
      <c r="K27" s="56">
        <f t="shared" si="9"/>
        <v>-233622.98855312783</v>
      </c>
    </row>
    <row r="28" spans="1:12" ht="15">
      <c r="D28" s="52" t="s">
        <v>95</v>
      </c>
      <c r="E28" s="53">
        <f t="shared" si="8"/>
        <v>4540.8417371428577</v>
      </c>
      <c r="F28" s="57">
        <v>0</v>
      </c>
      <c r="G28" s="57">
        <v>0</v>
      </c>
      <c r="H28" s="54">
        <v>0</v>
      </c>
      <c r="I28" s="55">
        <f t="shared" si="6"/>
        <v>67218.334333333332</v>
      </c>
      <c r="J28" s="55">
        <f>Q7</f>
        <v>250047.71925355811</v>
      </c>
      <c r="K28" s="56">
        <f>E28+F28+G28+H28-I28-J28</f>
        <v>-312725.21184974856</v>
      </c>
    </row>
    <row r="29" spans="1:12" ht="15">
      <c r="D29" s="58" t="s">
        <v>96</v>
      </c>
      <c r="E29" s="57">
        <f t="shared" ref="E29:J29" si="10">SUM(E23:E28)</f>
        <v>13634.988274285715</v>
      </c>
      <c r="F29" s="57">
        <f t="shared" si="10"/>
        <v>0</v>
      </c>
      <c r="G29" s="57">
        <f t="shared" si="10"/>
        <v>0</v>
      </c>
      <c r="H29" s="57">
        <f t="shared" si="10"/>
        <v>0</v>
      </c>
      <c r="I29" s="57">
        <f t="shared" si="10"/>
        <v>67218.334333333332</v>
      </c>
      <c r="J29" s="57">
        <f t="shared" si="10"/>
        <v>946716.04721792834</v>
      </c>
      <c r="K29" s="57">
        <f>SUM(K23:K28)</f>
        <v>-1000299.393276976</v>
      </c>
    </row>
    <row r="31" spans="1:12" ht="15.6">
      <c r="D31" s="164" t="s">
        <v>110</v>
      </c>
      <c r="E31" s="165"/>
      <c r="F31" s="165"/>
      <c r="G31" s="165"/>
      <c r="H31" s="166"/>
      <c r="L31" s="17"/>
    </row>
    <row r="32" spans="1:12" ht="76.150000000000006">
      <c r="D32" s="50" t="s">
        <v>6</v>
      </c>
      <c r="E32" s="51" t="s">
        <v>111</v>
      </c>
      <c r="F32" s="51" t="s">
        <v>112</v>
      </c>
      <c r="G32" s="51" t="s">
        <v>113</v>
      </c>
      <c r="H32" s="51" t="s">
        <v>114</v>
      </c>
    </row>
    <row r="33" spans="4:11" ht="15">
      <c r="D33" s="52" t="s">
        <v>93</v>
      </c>
      <c r="E33" s="53">
        <f>K13</f>
        <v>9766.8031371428588</v>
      </c>
      <c r="F33" s="53">
        <f>K23</f>
        <v>1065.4554742857147</v>
      </c>
      <c r="G33" s="54">
        <f>0</f>
        <v>0</v>
      </c>
      <c r="H33" s="53">
        <f>E33-F33-G33</f>
        <v>8701.3476628571443</v>
      </c>
      <c r="I33" s="17"/>
      <c r="K33" s="17"/>
    </row>
    <row r="34" spans="4:11" ht="15">
      <c r="D34" s="52">
        <v>2018</v>
      </c>
      <c r="E34" s="53">
        <f>K14</f>
        <v>27347.052291428576</v>
      </c>
      <c r="F34" s="53">
        <f t="shared" ref="F34:F39" si="11">K24</f>
        <v>1576.7216457142858</v>
      </c>
      <c r="G34" s="54">
        <f>0</f>
        <v>0</v>
      </c>
      <c r="H34" s="53">
        <f t="shared" ref="H34:H36" si="12">E34-F34-G34</f>
        <v>25770.33064571429</v>
      </c>
      <c r="I34" s="17"/>
    </row>
    <row r="35" spans="4:11" ht="15">
      <c r="D35" s="52">
        <v>2019</v>
      </c>
      <c r="E35" s="53">
        <f>K15</f>
        <v>21424.846834285716</v>
      </c>
      <c r="F35" s="53">
        <f t="shared" si="11"/>
        <v>-226428.77051212912</v>
      </c>
      <c r="G35" s="54">
        <f>0</f>
        <v>0</v>
      </c>
      <c r="H35" s="53">
        <f t="shared" si="12"/>
        <v>247853.61734641483</v>
      </c>
      <c r="I35" s="17"/>
    </row>
    <row r="36" spans="4:11" ht="15">
      <c r="D36" s="52">
        <v>2020</v>
      </c>
      <c r="E36" s="53">
        <f t="shared" ref="E36" si="13">K16</f>
        <v>17580.231617142861</v>
      </c>
      <c r="F36" s="53">
        <f t="shared" si="11"/>
        <v>-230164.59948197042</v>
      </c>
      <c r="G36" s="54">
        <f>0</f>
        <v>0</v>
      </c>
      <c r="H36" s="53">
        <f t="shared" si="12"/>
        <v>247744.83109911327</v>
      </c>
      <c r="I36" s="17"/>
    </row>
    <row r="37" spans="4:11" ht="15">
      <c r="D37" s="52">
        <v>2021</v>
      </c>
      <c r="E37" s="53">
        <f>K17</f>
        <v>11720.160257142859</v>
      </c>
      <c r="F37" s="53">
        <f t="shared" si="11"/>
        <v>-233622.98855312783</v>
      </c>
      <c r="G37" s="54">
        <f>0</f>
        <v>0</v>
      </c>
      <c r="H37" s="53">
        <f>E37-F37-G37</f>
        <v>245343.14881027068</v>
      </c>
      <c r="I37" s="17"/>
    </row>
    <row r="38" spans="4:11" ht="15">
      <c r="D38" s="52" t="s">
        <v>95</v>
      </c>
      <c r="E38" s="53">
        <f>K18</f>
        <v>19177</v>
      </c>
      <c r="F38" s="53">
        <f>K28</f>
        <v>-312725.21184974856</v>
      </c>
      <c r="G38" s="54">
        <f>0</f>
        <v>0</v>
      </c>
      <c r="H38" s="53">
        <f>E38-F38-G38</f>
        <v>331902.21184974856</v>
      </c>
      <c r="I38" s="17"/>
    </row>
    <row r="39" spans="4:11" ht="15">
      <c r="D39" s="58" t="s">
        <v>96</v>
      </c>
      <c r="E39" s="57">
        <f>K19</f>
        <v>107016.09413714288</v>
      </c>
      <c r="F39" s="57">
        <f t="shared" si="11"/>
        <v>-1000299.393276976</v>
      </c>
      <c r="G39" s="77">
        <f>0</f>
        <v>0</v>
      </c>
      <c r="H39" s="57">
        <f>E39-F39-G39</f>
        <v>1107315.4874141188</v>
      </c>
    </row>
    <row r="43" spans="4:11" ht="76.150000000000006">
      <c r="D43" s="50" t="s">
        <v>6</v>
      </c>
      <c r="E43" s="51" t="s">
        <v>115</v>
      </c>
      <c r="F43" s="51" t="s">
        <v>116</v>
      </c>
      <c r="G43" s="51" t="s">
        <v>117</v>
      </c>
      <c r="H43" s="51" t="s">
        <v>118</v>
      </c>
      <c r="I43" s="51" t="s">
        <v>119</v>
      </c>
      <c r="J43" s="51" t="s">
        <v>120</v>
      </c>
      <c r="K43" s="51" t="s">
        <v>121</v>
      </c>
    </row>
    <row r="44" spans="4:11" ht="15">
      <c r="D44" s="52" t="s">
        <v>93</v>
      </c>
      <c r="E44" s="53">
        <f t="shared" ref="E44:E49" si="14">K13</f>
        <v>9766.8031371428588</v>
      </c>
      <c r="F44" s="53">
        <f t="shared" ref="F44:F49" si="15">K23</f>
        <v>1065.4554742857147</v>
      </c>
      <c r="G44" s="54">
        <f>0</f>
        <v>0</v>
      </c>
      <c r="H44" s="53">
        <f>E44-F44-G44</f>
        <v>8701.3476628571443</v>
      </c>
      <c r="I44" s="59">
        <v>0.1</v>
      </c>
      <c r="J44" s="53">
        <f>H44*I44</f>
        <v>870.13476628571448</v>
      </c>
      <c r="K44" s="56">
        <f>H44-J44</f>
        <v>7831.2128965714301</v>
      </c>
    </row>
    <row r="45" spans="4:11" ht="15">
      <c r="D45" s="52">
        <v>2018</v>
      </c>
      <c r="E45" s="53">
        <f t="shared" si="14"/>
        <v>27347.052291428576</v>
      </c>
      <c r="F45" s="53">
        <f>K24</f>
        <v>1576.7216457142858</v>
      </c>
      <c r="G45" s="54">
        <f>0</f>
        <v>0</v>
      </c>
      <c r="H45" s="53">
        <f t="shared" ref="H45:H47" si="16">E45-F45-G45</f>
        <v>25770.33064571429</v>
      </c>
      <c r="I45" s="59">
        <v>0.1</v>
      </c>
      <c r="J45" s="53">
        <f t="shared" ref="J45:J49" si="17">H45*I45</f>
        <v>2577.0330645714293</v>
      </c>
      <c r="K45" s="56">
        <f t="shared" ref="K45:K49" si="18">H45-J45</f>
        <v>23193.297581142862</v>
      </c>
    </row>
    <row r="46" spans="4:11" ht="15">
      <c r="D46" s="52">
        <v>2019</v>
      </c>
      <c r="E46" s="53">
        <f t="shared" si="14"/>
        <v>21424.846834285716</v>
      </c>
      <c r="F46" s="53">
        <f t="shared" si="15"/>
        <v>-226428.77051212912</v>
      </c>
      <c r="G46" s="54">
        <f>0</f>
        <v>0</v>
      </c>
      <c r="H46" s="53">
        <f t="shared" si="16"/>
        <v>247853.61734641483</v>
      </c>
      <c r="I46" s="59">
        <v>0.1</v>
      </c>
      <c r="J46" s="53">
        <f t="shared" si="17"/>
        <v>24785.361734641483</v>
      </c>
      <c r="K46" s="56">
        <f t="shared" si="18"/>
        <v>223068.25561177335</v>
      </c>
    </row>
    <row r="47" spans="4:11" ht="15">
      <c r="D47" s="52">
        <v>2020</v>
      </c>
      <c r="E47" s="53">
        <f t="shared" si="14"/>
        <v>17580.231617142861</v>
      </c>
      <c r="F47" s="53">
        <f t="shared" si="15"/>
        <v>-230164.59948197042</v>
      </c>
      <c r="G47" s="54">
        <f>0</f>
        <v>0</v>
      </c>
      <c r="H47" s="53">
        <f t="shared" si="16"/>
        <v>247744.83109911327</v>
      </c>
      <c r="I47" s="59">
        <v>0.1</v>
      </c>
      <c r="J47" s="53">
        <f t="shared" si="17"/>
        <v>24774.483109911329</v>
      </c>
      <c r="K47" s="56">
        <f t="shared" si="18"/>
        <v>222970.34798920195</v>
      </c>
    </row>
    <row r="48" spans="4:11" ht="15">
      <c r="D48" s="52">
        <v>2021</v>
      </c>
      <c r="E48" s="53">
        <f t="shared" si="14"/>
        <v>11720.160257142859</v>
      </c>
      <c r="F48" s="53">
        <f t="shared" si="15"/>
        <v>-233622.98855312783</v>
      </c>
      <c r="G48" s="54">
        <f>0</f>
        <v>0</v>
      </c>
      <c r="H48" s="53">
        <f>E48-F48-G48</f>
        <v>245343.14881027068</v>
      </c>
      <c r="I48" s="59">
        <v>0.1</v>
      </c>
      <c r="J48" s="53">
        <f t="shared" si="17"/>
        <v>24534.314881027069</v>
      </c>
      <c r="K48" s="56">
        <f t="shared" si="18"/>
        <v>220808.83392924361</v>
      </c>
    </row>
    <row r="49" spans="4:12" ht="15">
      <c r="D49" s="52" t="s">
        <v>95</v>
      </c>
      <c r="E49" s="53">
        <f t="shared" si="14"/>
        <v>19177</v>
      </c>
      <c r="F49" s="53">
        <f t="shared" si="15"/>
        <v>-312725.21184974856</v>
      </c>
      <c r="G49" s="54">
        <f>0</f>
        <v>0</v>
      </c>
      <c r="H49" s="53">
        <f>E49-F49-G49</f>
        <v>331902.21184974856</v>
      </c>
      <c r="I49" s="59">
        <v>0.1</v>
      </c>
      <c r="J49" s="53">
        <f t="shared" si="17"/>
        <v>33190.221184974856</v>
      </c>
      <c r="K49" s="56">
        <f t="shared" si="18"/>
        <v>298711.99066477374</v>
      </c>
    </row>
    <row r="50" spans="4:12" ht="15">
      <c r="D50" s="58" t="s">
        <v>96</v>
      </c>
      <c r="E50" s="57">
        <f>SUM(E44:E49)</f>
        <v>107016.09413714288</v>
      </c>
      <c r="F50" s="57">
        <f>SUM(F44:F49)</f>
        <v>-1000299.393276976</v>
      </c>
      <c r="G50" s="57">
        <f t="shared" ref="G50:J50" si="19">SUM(G44:G49)</f>
        <v>0</v>
      </c>
      <c r="H50" s="57">
        <f>SUM(H44:H49)</f>
        <v>1107315.4874141188</v>
      </c>
      <c r="I50" s="77"/>
      <c r="J50" s="57">
        <f t="shared" si="19"/>
        <v>110731.54874141188</v>
      </c>
      <c r="K50" s="57">
        <f>SUM(K44:K49)</f>
        <v>996583.93867270695</v>
      </c>
    </row>
    <row r="52" spans="4:12">
      <c r="K52" s="49"/>
    </row>
    <row r="54" spans="4:12">
      <c r="L54" s="49"/>
    </row>
    <row r="57" spans="4:12">
      <c r="L57" s="49"/>
    </row>
  </sheetData>
  <mergeCells count="3">
    <mergeCell ref="D11:L11"/>
    <mergeCell ref="D31:H31"/>
    <mergeCell ref="D21:K2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8F8C5-EF9D-46BE-88C3-BD45BCA2C217}">
  <dimension ref="B1:U30"/>
  <sheetViews>
    <sheetView zoomScale="70" zoomScaleNormal="70" workbookViewId="0">
      <selection activeCell="N7" sqref="N7"/>
    </sheetView>
  </sheetViews>
  <sheetFormatPr defaultRowHeight="14.45"/>
  <cols>
    <col min="3" max="3" width="12" bestFit="1" customWidth="1"/>
    <col min="4" max="5" width="10.85546875" customWidth="1"/>
    <col min="6" max="6" width="11.7109375" customWidth="1"/>
    <col min="10" max="10" width="11.140625" customWidth="1"/>
    <col min="11" max="11" width="11.28515625" bestFit="1" customWidth="1"/>
    <col min="14" max="14" width="13.28515625" customWidth="1"/>
    <col min="17" max="17" width="12" bestFit="1" customWidth="1"/>
    <col min="18" max="18" width="14.7109375" customWidth="1"/>
    <col min="19" max="19" width="14.28515625" customWidth="1"/>
    <col min="20" max="20" width="19.28515625" bestFit="1" customWidth="1"/>
    <col min="21" max="21" width="9.28515625" bestFit="1" customWidth="1"/>
  </cols>
  <sheetData>
    <row r="1" spans="2:20">
      <c r="B1" s="168" t="s">
        <v>122</v>
      </c>
      <c r="C1" s="168"/>
      <c r="D1" s="168"/>
      <c r="E1" s="168"/>
      <c r="F1" s="168"/>
      <c r="G1" s="168"/>
      <c r="I1" s="168" t="s">
        <v>123</v>
      </c>
      <c r="J1" s="168"/>
      <c r="K1" s="168"/>
      <c r="L1" s="168"/>
      <c r="M1" s="168"/>
      <c r="N1" s="168"/>
      <c r="P1" s="168" t="s">
        <v>124</v>
      </c>
      <c r="Q1" s="168"/>
      <c r="R1" s="168"/>
      <c r="S1" s="168"/>
      <c r="T1" s="168"/>
    </row>
    <row r="2" spans="2:20">
      <c r="B2" s="167" t="s">
        <v>3</v>
      </c>
      <c r="C2" s="167"/>
      <c r="D2" s="167"/>
      <c r="E2" s="167"/>
      <c r="F2" s="167"/>
      <c r="G2" s="167"/>
      <c r="I2" s="167" t="s">
        <v>3</v>
      </c>
      <c r="J2" s="167"/>
      <c r="K2" s="167"/>
      <c r="L2" s="167"/>
      <c r="M2" s="167"/>
      <c r="N2" s="167"/>
      <c r="P2" s="167" t="s">
        <v>3</v>
      </c>
      <c r="Q2" s="167"/>
      <c r="R2" s="167"/>
      <c r="S2" s="167"/>
      <c r="T2" s="167"/>
    </row>
    <row r="3" spans="2:20" ht="43.9">
      <c r="B3" s="116" t="s">
        <v>125</v>
      </c>
      <c r="C3" s="116" t="s">
        <v>126</v>
      </c>
      <c r="D3" s="116" t="s">
        <v>127</v>
      </c>
      <c r="E3" s="116" t="s">
        <v>128</v>
      </c>
      <c r="F3" s="116" t="s">
        <v>129</v>
      </c>
      <c r="G3" s="116" t="s">
        <v>130</v>
      </c>
      <c r="H3" s="114"/>
      <c r="I3" s="116" t="s">
        <v>125</v>
      </c>
      <c r="J3" s="116" t="s">
        <v>126</v>
      </c>
      <c r="K3" s="116" t="s">
        <v>127</v>
      </c>
      <c r="L3" s="116" t="s">
        <v>131</v>
      </c>
      <c r="M3" s="116">
        <v>0.15</v>
      </c>
      <c r="N3" s="116" t="s">
        <v>132</v>
      </c>
      <c r="P3" s="116" t="s">
        <v>125</v>
      </c>
      <c r="Q3" s="116" t="s">
        <v>126</v>
      </c>
      <c r="R3" s="116" t="s">
        <v>133</v>
      </c>
      <c r="S3" s="116" t="s">
        <v>134</v>
      </c>
      <c r="T3" s="116" t="s">
        <v>135</v>
      </c>
    </row>
    <row r="4" spans="2:20">
      <c r="B4" s="109">
        <v>1</v>
      </c>
      <c r="C4" s="109" t="s">
        <v>93</v>
      </c>
      <c r="D4" s="111">
        <f>Ex_post_ERs!O2</f>
        <v>0</v>
      </c>
      <c r="E4" s="113">
        <v>0</v>
      </c>
      <c r="F4" s="113">
        <v>0</v>
      </c>
      <c r="G4" s="128">
        <v>0</v>
      </c>
      <c r="I4" s="110">
        <v>1</v>
      </c>
      <c r="J4" s="110" t="s">
        <v>93</v>
      </c>
      <c r="K4" s="111">
        <f>Ex_post_ERs!V2</f>
        <v>0</v>
      </c>
      <c r="L4" s="124">
        <f>G4/100</f>
        <v>0</v>
      </c>
      <c r="M4" s="125">
        <v>0.15</v>
      </c>
      <c r="N4" s="110">
        <v>0</v>
      </c>
      <c r="P4" s="110">
        <v>1</v>
      </c>
      <c r="Q4" s="110" t="s">
        <v>93</v>
      </c>
      <c r="R4" s="111">
        <f>Ex_post_ERs!AC2</f>
        <v>0</v>
      </c>
      <c r="S4" s="123">
        <v>0</v>
      </c>
      <c r="T4" s="111">
        <v>0</v>
      </c>
    </row>
    <row r="5" spans="2:20">
      <c r="B5" s="109">
        <v>2</v>
      </c>
      <c r="C5" s="109">
        <v>2018</v>
      </c>
      <c r="D5" s="111">
        <v>0</v>
      </c>
      <c r="E5" s="113">
        <v>0</v>
      </c>
      <c r="F5" s="113">
        <v>0</v>
      </c>
      <c r="G5" s="128">
        <v>0</v>
      </c>
      <c r="I5" s="110">
        <v>2</v>
      </c>
      <c r="J5" s="110">
        <v>2018</v>
      </c>
      <c r="K5" s="111">
        <v>0</v>
      </c>
      <c r="L5" s="124">
        <f>G5/100</f>
        <v>0</v>
      </c>
      <c r="M5" s="125">
        <v>0.15</v>
      </c>
      <c r="N5" s="110">
        <f>K5*(L5-M5)</f>
        <v>0</v>
      </c>
      <c r="P5" s="110">
        <v>2</v>
      </c>
      <c r="Q5" s="110">
        <v>2018</v>
      </c>
      <c r="R5" s="111">
        <v>0</v>
      </c>
      <c r="S5" s="123">
        <f t="shared" ref="S5" si="0">N5</f>
        <v>0</v>
      </c>
      <c r="T5" s="111">
        <f t="shared" ref="T5:T9" si="1">R5-S5</f>
        <v>0</v>
      </c>
    </row>
    <row r="6" spans="2:20">
      <c r="B6" s="109">
        <v>3</v>
      </c>
      <c r="C6" s="109">
        <v>2019</v>
      </c>
      <c r="D6" s="111">
        <v>190727.71765793097</v>
      </c>
      <c r="E6" s="113">
        <v>223198.56887453998</v>
      </c>
      <c r="F6" s="113">
        <v>174277.88072351998</v>
      </c>
      <c r="G6" s="128">
        <f>(E6-F6)/(2*D6)</f>
        <v>0.12824745336375012</v>
      </c>
      <c r="I6" s="110">
        <v>3</v>
      </c>
      <c r="J6" s="110">
        <v>2019</v>
      </c>
      <c r="K6" s="111">
        <v>190727.71765793097</v>
      </c>
      <c r="L6" s="124">
        <f>G6</f>
        <v>0.12824745336375012</v>
      </c>
      <c r="M6" s="125">
        <v>0.15</v>
      </c>
      <c r="N6" s="111">
        <v>0</v>
      </c>
      <c r="P6" s="110">
        <v>3</v>
      </c>
      <c r="Q6" s="110">
        <v>2019</v>
      </c>
      <c r="R6" s="111">
        <v>190727.71765793097</v>
      </c>
      <c r="S6" s="123">
        <v>0</v>
      </c>
      <c r="T6" s="111">
        <f>R6-S6</f>
        <v>190727.71765793097</v>
      </c>
    </row>
    <row r="7" spans="2:20">
      <c r="B7" s="109">
        <v>4</v>
      </c>
      <c r="C7" s="109">
        <v>2020</v>
      </c>
      <c r="D7" s="111">
        <v>193205.30895448293</v>
      </c>
      <c r="E7" s="113">
        <v>227298.04268009998</v>
      </c>
      <c r="F7" s="113">
        <v>175743.20072231989</v>
      </c>
      <c r="G7" s="128">
        <f t="shared" ref="G7:G8" si="2">(E7-F7)/(2*D7)</f>
        <v>0.13341983777973165</v>
      </c>
      <c r="I7" s="110">
        <v>4</v>
      </c>
      <c r="J7" s="110">
        <v>2020</v>
      </c>
      <c r="K7" s="111">
        <v>193205.30895448293</v>
      </c>
      <c r="L7" s="124">
        <f t="shared" ref="L7:L9" si="3">G7</f>
        <v>0.13341983777973165</v>
      </c>
      <c r="M7" s="125">
        <v>0.15</v>
      </c>
      <c r="N7" s="111">
        <v>0</v>
      </c>
      <c r="P7" s="110">
        <v>4</v>
      </c>
      <c r="Q7" s="110">
        <v>2020</v>
      </c>
      <c r="R7" s="111">
        <v>193205.30895448293</v>
      </c>
      <c r="S7" s="123">
        <v>0</v>
      </c>
      <c r="T7" s="111">
        <f t="shared" si="1"/>
        <v>193205.30895448293</v>
      </c>
    </row>
    <row r="8" spans="2:20">
      <c r="B8" s="109">
        <v>5</v>
      </c>
      <c r="C8" s="109">
        <v>2021</v>
      </c>
      <c r="D8" s="111">
        <v>198611.32691931026</v>
      </c>
      <c r="E8" s="113">
        <v>233559.0968151002</v>
      </c>
      <c r="F8" s="113">
        <v>179578.69915230019</v>
      </c>
      <c r="G8" s="128">
        <f t="shared" si="2"/>
        <v>0.13589455974162692</v>
      </c>
      <c r="I8" s="110">
        <v>5</v>
      </c>
      <c r="J8" s="110">
        <v>2021</v>
      </c>
      <c r="K8" s="111">
        <v>198611.32691931026</v>
      </c>
      <c r="L8" s="124">
        <f t="shared" si="3"/>
        <v>0.13589455974162692</v>
      </c>
      <c r="M8" s="125">
        <v>0.15</v>
      </c>
      <c r="N8" s="111">
        <v>0</v>
      </c>
      <c r="P8" s="110">
        <v>5</v>
      </c>
      <c r="Q8" s="110">
        <v>2021</v>
      </c>
      <c r="R8" s="111">
        <v>198611.32691931026</v>
      </c>
      <c r="S8" s="123">
        <v>0</v>
      </c>
      <c r="T8" s="111">
        <f t="shared" si="1"/>
        <v>198611.32691931026</v>
      </c>
    </row>
    <row r="9" spans="2:20">
      <c r="B9" s="109">
        <v>6</v>
      </c>
      <c r="C9" s="109" t="s">
        <v>95</v>
      </c>
      <c r="D9" s="111">
        <v>208511.64100344817</v>
      </c>
      <c r="E9" s="113">
        <v>217587.10882817968</v>
      </c>
      <c r="F9" s="113">
        <v>163379.60212097986</v>
      </c>
      <c r="G9" s="128">
        <f>(E9-F9)/(2*D9)</f>
        <v>0.12998676343999274</v>
      </c>
      <c r="I9" s="110">
        <v>6</v>
      </c>
      <c r="J9" s="110" t="s">
        <v>95</v>
      </c>
      <c r="K9" s="111">
        <v>208511.64100344817</v>
      </c>
      <c r="L9" s="124">
        <f t="shared" si="3"/>
        <v>0.12998676343999274</v>
      </c>
      <c r="M9" s="125">
        <v>0.15</v>
      </c>
      <c r="N9" s="111">
        <v>0</v>
      </c>
      <c r="P9" s="110">
        <v>6</v>
      </c>
      <c r="Q9" s="110" t="s">
        <v>95</v>
      </c>
      <c r="R9" s="111">
        <v>208511.64100344817</v>
      </c>
      <c r="S9" s="123">
        <v>0</v>
      </c>
      <c r="T9" s="111">
        <f t="shared" si="1"/>
        <v>208511.64100344817</v>
      </c>
    </row>
    <row r="10" spans="2:20">
      <c r="D10" s="49"/>
      <c r="I10" s="115"/>
      <c r="J10" s="117" t="s">
        <v>23</v>
      </c>
      <c r="K10" s="118">
        <f>SUM(K4,K5:K9)</f>
        <v>791055.99453517236</v>
      </c>
      <c r="L10" s="118"/>
      <c r="M10" s="118"/>
      <c r="N10" s="122">
        <f t="shared" ref="N10" si="4">SUM(N4,N5:N9)</f>
        <v>0</v>
      </c>
      <c r="P10" s="115"/>
      <c r="Q10" s="121" t="s">
        <v>23</v>
      </c>
      <c r="R10" s="122">
        <f t="shared" ref="R10:T10" si="5">SUM(R4,R5:R9)</f>
        <v>791055.99453517236</v>
      </c>
      <c r="S10" s="122">
        <f t="shared" si="5"/>
        <v>0</v>
      </c>
      <c r="T10" s="122">
        <f t="shared" si="5"/>
        <v>791055.99453517236</v>
      </c>
    </row>
    <row r="12" spans="2:20">
      <c r="B12" s="167" t="s">
        <v>4</v>
      </c>
      <c r="C12" s="167"/>
      <c r="D12" s="167"/>
      <c r="E12" s="167"/>
      <c r="F12" s="167"/>
      <c r="G12" s="167"/>
      <c r="I12" s="167" t="s">
        <v>4</v>
      </c>
      <c r="J12" s="167"/>
      <c r="K12" s="167"/>
      <c r="L12" s="167"/>
      <c r="M12" s="167"/>
      <c r="N12" s="167"/>
      <c r="P12" s="167" t="s">
        <v>4</v>
      </c>
      <c r="Q12" s="167"/>
      <c r="R12" s="167"/>
      <c r="S12" s="167"/>
      <c r="T12" s="167"/>
    </row>
    <row r="13" spans="2:20" ht="43.9">
      <c r="B13" s="116" t="s">
        <v>125</v>
      </c>
      <c r="C13" s="116" t="s">
        <v>126</v>
      </c>
      <c r="D13" s="116" t="s">
        <v>127</v>
      </c>
      <c r="E13" s="116" t="s">
        <v>128</v>
      </c>
      <c r="F13" s="116" t="s">
        <v>129</v>
      </c>
      <c r="G13" s="116" t="s">
        <v>130</v>
      </c>
      <c r="H13" s="114"/>
      <c r="I13" s="116" t="s">
        <v>125</v>
      </c>
      <c r="J13" s="116" t="s">
        <v>126</v>
      </c>
      <c r="K13" s="116" t="s">
        <v>127</v>
      </c>
      <c r="L13" s="116" t="s">
        <v>131</v>
      </c>
      <c r="M13" s="116">
        <v>0.15</v>
      </c>
      <c r="N13" s="116" t="s">
        <v>132</v>
      </c>
      <c r="P13" s="116" t="s">
        <v>125</v>
      </c>
      <c r="Q13" s="116" t="s">
        <v>126</v>
      </c>
      <c r="R13" s="116" t="s">
        <v>133</v>
      </c>
      <c r="S13" s="116" t="s">
        <v>134</v>
      </c>
      <c r="T13" s="116" t="s">
        <v>135</v>
      </c>
    </row>
    <row r="14" spans="2:20">
      <c r="B14" s="110">
        <v>1</v>
      </c>
      <c r="C14" s="110" t="s">
        <v>93</v>
      </c>
      <c r="D14" s="111">
        <v>0</v>
      </c>
      <c r="E14" s="111">
        <v>0</v>
      </c>
      <c r="F14" s="111">
        <v>0</v>
      </c>
      <c r="G14" s="124">
        <v>0</v>
      </c>
      <c r="I14" s="110">
        <v>1</v>
      </c>
      <c r="J14" s="110" t="s">
        <v>93</v>
      </c>
      <c r="K14" s="111">
        <v>0</v>
      </c>
      <c r="L14" s="124">
        <f>G14/100</f>
        <v>0</v>
      </c>
      <c r="M14" s="124">
        <v>0.15</v>
      </c>
      <c r="N14" s="110">
        <f>K14*(L14-M14)</f>
        <v>0</v>
      </c>
      <c r="P14" s="110">
        <v>1</v>
      </c>
      <c r="Q14" s="110" t="s">
        <v>93</v>
      </c>
      <c r="R14" s="111">
        <v>0</v>
      </c>
      <c r="S14" s="111">
        <f>N14</f>
        <v>0</v>
      </c>
      <c r="T14" s="111">
        <f>R14-S14</f>
        <v>0</v>
      </c>
    </row>
    <row r="15" spans="2:20">
      <c r="B15" s="110">
        <v>2</v>
      </c>
      <c r="C15" s="110">
        <v>2018</v>
      </c>
      <c r="D15" s="111">
        <v>0</v>
      </c>
      <c r="E15" s="111">
        <v>0</v>
      </c>
      <c r="F15" s="111">
        <v>0</v>
      </c>
      <c r="G15" s="124">
        <v>0</v>
      </c>
      <c r="I15" s="110">
        <v>2</v>
      </c>
      <c r="J15" s="110">
        <v>2018</v>
      </c>
      <c r="K15" s="111">
        <v>0</v>
      </c>
      <c r="L15" s="124">
        <f>G15/100</f>
        <v>0</v>
      </c>
      <c r="M15" s="124">
        <v>0.15</v>
      </c>
      <c r="N15" s="110">
        <f t="shared" ref="N15" si="6">K15*(L15-M15)</f>
        <v>0</v>
      </c>
      <c r="P15" s="110">
        <v>2</v>
      </c>
      <c r="Q15" s="110">
        <v>2018</v>
      </c>
      <c r="R15" s="111">
        <v>0</v>
      </c>
      <c r="S15" s="111">
        <f t="shared" ref="S15" si="7">N15</f>
        <v>0</v>
      </c>
      <c r="T15" s="111">
        <f>R15-S15</f>
        <v>0</v>
      </c>
    </row>
    <row r="16" spans="2:20">
      <c r="B16" s="110">
        <v>3</v>
      </c>
      <c r="C16" s="110">
        <v>2019</v>
      </c>
      <c r="D16" s="111">
        <v>36801.629197666647</v>
      </c>
      <c r="E16" s="111">
        <v>45198.567229815999</v>
      </c>
      <c r="F16" s="111">
        <v>29838.053506078995</v>
      </c>
      <c r="G16" s="124">
        <f>(E16-F16)/(2*D16)</f>
        <v>0.20869339290977523</v>
      </c>
      <c r="I16" s="110">
        <v>3</v>
      </c>
      <c r="J16" s="110">
        <v>2019</v>
      </c>
      <c r="K16" s="111">
        <v>36801.629197666647</v>
      </c>
      <c r="L16" s="124">
        <f>G16</f>
        <v>0.20869339290977523</v>
      </c>
      <c r="M16" s="124">
        <v>0.15</v>
      </c>
      <c r="N16" s="111">
        <f>K16*(L16-M16)</f>
        <v>2160.0124822185048</v>
      </c>
      <c r="P16" s="110">
        <v>3</v>
      </c>
      <c r="Q16" s="110">
        <v>2019</v>
      </c>
      <c r="R16" s="111">
        <v>36801.629197666647</v>
      </c>
      <c r="S16" s="111">
        <f>N16</f>
        <v>2160.0124822185048</v>
      </c>
      <c r="T16" s="111">
        <f>R16-S16</f>
        <v>34641.616715448145</v>
      </c>
    </row>
    <row r="17" spans="2:21">
      <c r="B17" s="110">
        <v>4</v>
      </c>
      <c r="C17" s="110">
        <v>2020</v>
      </c>
      <c r="D17" s="111">
        <v>37869.444997999984</v>
      </c>
      <c r="E17" s="111">
        <v>45930.871405537997</v>
      </c>
      <c r="F17" s="111">
        <v>30961.035960113011</v>
      </c>
      <c r="G17" s="124">
        <f t="shared" ref="G17:G19" si="8">(E17-F17)/(2*D17)</f>
        <v>0.19765057880060816</v>
      </c>
      <c r="I17" s="110">
        <v>4</v>
      </c>
      <c r="J17" s="110">
        <v>2020</v>
      </c>
      <c r="K17" s="111">
        <v>37869.444997999984</v>
      </c>
      <c r="L17" s="124">
        <f t="shared" ref="L17:L18" si="9">G17</f>
        <v>0.19765057880060816</v>
      </c>
      <c r="M17" s="124">
        <v>0.15</v>
      </c>
      <c r="N17" s="111">
        <f t="shared" ref="N17" si="10">K17*(L17-M17)</f>
        <v>1804.5009730124948</v>
      </c>
      <c r="P17" s="110">
        <v>4</v>
      </c>
      <c r="Q17" s="110">
        <v>2020</v>
      </c>
      <c r="R17" s="111">
        <v>37869.444997999984</v>
      </c>
      <c r="S17" s="111">
        <f t="shared" ref="S17:S18" si="11">N17</f>
        <v>1804.5009730124948</v>
      </c>
      <c r="T17" s="111">
        <f t="shared" ref="T17:T18" si="12">R17-S17</f>
        <v>36064.94402498749</v>
      </c>
    </row>
    <row r="18" spans="2:21">
      <c r="B18" s="110">
        <v>5</v>
      </c>
      <c r="C18" s="110">
        <v>2021</v>
      </c>
      <c r="D18" s="111">
        <v>37126.923577333364</v>
      </c>
      <c r="E18" s="111">
        <v>46831.501717245024</v>
      </c>
      <c r="F18" s="111">
        <v>30285.120262816989</v>
      </c>
      <c r="G18" s="124">
        <f t="shared" si="8"/>
        <v>0.22283534238923436</v>
      </c>
      <c r="I18" s="110">
        <v>5</v>
      </c>
      <c r="J18" s="110">
        <v>2021</v>
      </c>
      <c r="K18" s="111">
        <v>37126.923577333364</v>
      </c>
      <c r="L18" s="124">
        <f t="shared" si="9"/>
        <v>0.22283534238923436</v>
      </c>
      <c r="M18" s="124">
        <v>0.15</v>
      </c>
      <c r="N18" s="111">
        <f>K18*(L18-M18)</f>
        <v>2704.1521906140133</v>
      </c>
      <c r="P18" s="110">
        <v>5</v>
      </c>
      <c r="Q18" s="110">
        <v>2021</v>
      </c>
      <c r="R18" s="111">
        <v>37126.923577333364</v>
      </c>
      <c r="S18" s="111">
        <f t="shared" si="11"/>
        <v>2704.1521906140133</v>
      </c>
      <c r="T18" s="111">
        <f t="shared" si="12"/>
        <v>34422.771386719352</v>
      </c>
    </row>
    <row r="19" spans="2:21">
      <c r="B19" s="110">
        <v>6</v>
      </c>
      <c r="C19" s="110" t="s">
        <v>95</v>
      </c>
      <c r="D19" s="111">
        <v>40822.843908000032</v>
      </c>
      <c r="E19" s="111">
        <v>50513.849652385004</v>
      </c>
      <c r="F19" s="111">
        <v>32971.810555186996</v>
      </c>
      <c r="G19" s="124">
        <f t="shared" si="8"/>
        <v>0.21485567170101424</v>
      </c>
      <c r="I19" s="110">
        <v>6</v>
      </c>
      <c r="J19" s="119" t="s">
        <v>95</v>
      </c>
      <c r="K19" s="111">
        <v>40822.843908000032</v>
      </c>
      <c r="L19" s="126">
        <f>G19</f>
        <v>0.21485567170101424</v>
      </c>
      <c r="M19" s="126">
        <v>0.15</v>
      </c>
      <c r="N19" s="111">
        <f>K19*(L19-M19)</f>
        <v>2647.5929623989996</v>
      </c>
      <c r="P19" s="110">
        <v>6</v>
      </c>
      <c r="Q19" s="119" t="s">
        <v>95</v>
      </c>
      <c r="R19" s="111">
        <v>40822.843908000032</v>
      </c>
      <c r="S19" s="120">
        <f>N19</f>
        <v>2647.5929623989996</v>
      </c>
      <c r="T19" s="111">
        <f>R19-S19</f>
        <v>38175.25094560103</v>
      </c>
    </row>
    <row r="20" spans="2:21">
      <c r="D20" s="49"/>
      <c r="I20" s="115"/>
      <c r="J20" s="121" t="s">
        <v>23</v>
      </c>
      <c r="K20" s="122">
        <f t="shared" ref="K20" si="13">SUM(K14,K15:K19)</f>
        <v>152620.84168100002</v>
      </c>
      <c r="L20" s="118"/>
      <c r="M20" s="122"/>
      <c r="N20" s="122">
        <f>SUM(N14,N15:N19)</f>
        <v>9316.2586082440121</v>
      </c>
      <c r="P20" s="115"/>
      <c r="Q20" s="121" t="s">
        <v>23</v>
      </c>
      <c r="R20" s="122">
        <f t="shared" ref="R20:S20" si="14">SUM(R14,R15:R19)</f>
        <v>152620.84168100002</v>
      </c>
      <c r="S20" s="122">
        <f t="shared" si="14"/>
        <v>9316.2586082440121</v>
      </c>
      <c r="T20" s="122">
        <f>SUM(T14,T15:T19)</f>
        <v>143304.58307275601</v>
      </c>
      <c r="U20" s="49"/>
    </row>
    <row r="22" spans="2:21">
      <c r="B22" s="167" t="s">
        <v>5</v>
      </c>
      <c r="C22" s="167"/>
      <c r="D22" s="167"/>
      <c r="E22" s="167"/>
      <c r="F22" s="167"/>
      <c r="G22" s="167"/>
      <c r="I22" s="167" t="s">
        <v>5</v>
      </c>
      <c r="J22" s="167"/>
      <c r="K22" s="167"/>
      <c r="L22" s="167"/>
      <c r="M22" s="167"/>
      <c r="N22" s="167"/>
      <c r="P22" s="167" t="s">
        <v>5</v>
      </c>
      <c r="Q22" s="167"/>
      <c r="R22" s="167"/>
      <c r="S22" s="167"/>
      <c r="T22" s="167"/>
    </row>
    <row r="23" spans="2:21" ht="43.9">
      <c r="B23" s="116" t="s">
        <v>125</v>
      </c>
      <c r="C23" s="116" t="s">
        <v>126</v>
      </c>
      <c r="D23" s="116" t="s">
        <v>127</v>
      </c>
      <c r="E23" s="116" t="s">
        <v>128</v>
      </c>
      <c r="F23" s="116" t="s">
        <v>129</v>
      </c>
      <c r="G23" s="116" t="s">
        <v>130</v>
      </c>
      <c r="H23" s="114"/>
      <c r="I23" s="116" t="s">
        <v>125</v>
      </c>
      <c r="J23" s="116" t="s">
        <v>126</v>
      </c>
      <c r="K23" s="116" t="s">
        <v>127</v>
      </c>
      <c r="L23" s="116" t="s">
        <v>131</v>
      </c>
      <c r="M23" s="116">
        <v>0.15</v>
      </c>
      <c r="N23" s="116" t="s">
        <v>132</v>
      </c>
      <c r="P23" s="116" t="s">
        <v>125</v>
      </c>
      <c r="Q23" s="116" t="s">
        <v>126</v>
      </c>
      <c r="R23" s="116" t="s">
        <v>133</v>
      </c>
      <c r="S23" s="116" t="s">
        <v>134</v>
      </c>
      <c r="T23" s="116" t="s">
        <v>135</v>
      </c>
    </row>
    <row r="24" spans="2:21">
      <c r="B24" s="110">
        <v>1</v>
      </c>
      <c r="C24" s="110" t="s">
        <v>93</v>
      </c>
      <c r="D24" s="111">
        <v>0</v>
      </c>
      <c r="E24" s="111">
        <v>0</v>
      </c>
      <c r="F24" s="111">
        <v>0</v>
      </c>
      <c r="G24" s="124">
        <v>0</v>
      </c>
      <c r="I24" s="112">
        <v>1</v>
      </c>
      <c r="J24" s="110" t="s">
        <v>93</v>
      </c>
      <c r="K24" s="111">
        <v>0</v>
      </c>
      <c r="L24" s="124">
        <f>G24/100</f>
        <v>0</v>
      </c>
      <c r="M24" s="124">
        <v>0.15</v>
      </c>
      <c r="N24" s="110">
        <f>K24*(L24-M24)</f>
        <v>0</v>
      </c>
      <c r="P24" s="110">
        <v>1</v>
      </c>
      <c r="Q24" s="110" t="s">
        <v>93</v>
      </c>
      <c r="R24" s="111">
        <v>0</v>
      </c>
      <c r="S24" s="111">
        <f>N24</f>
        <v>0</v>
      </c>
      <c r="T24" s="111">
        <f>R24-S24</f>
        <v>0</v>
      </c>
    </row>
    <row r="25" spans="2:21">
      <c r="B25" s="110">
        <v>2</v>
      </c>
      <c r="C25" s="110">
        <v>2018</v>
      </c>
      <c r="D25" s="111">
        <v>0</v>
      </c>
      <c r="E25" s="111">
        <v>0</v>
      </c>
      <c r="F25" s="111">
        <v>0</v>
      </c>
      <c r="G25" s="124">
        <v>0</v>
      </c>
      <c r="I25" s="112">
        <v>2</v>
      </c>
      <c r="J25" s="110">
        <v>2018</v>
      </c>
      <c r="K25" s="111">
        <v>0</v>
      </c>
      <c r="L25" s="124">
        <f>G25/100</f>
        <v>0</v>
      </c>
      <c r="M25" s="124">
        <v>0.15</v>
      </c>
      <c r="N25" s="110">
        <f t="shared" ref="N25" si="15">K25*(L25-M25)</f>
        <v>0</v>
      </c>
      <c r="P25" s="110">
        <v>2</v>
      </c>
      <c r="Q25" s="110">
        <v>2018</v>
      </c>
      <c r="R25" s="111">
        <v>0</v>
      </c>
      <c r="S25" s="111">
        <f t="shared" ref="S25" si="16">N25</f>
        <v>0</v>
      </c>
      <c r="T25" s="111">
        <f>R25-S25</f>
        <v>0</v>
      </c>
    </row>
    <row r="26" spans="2:21">
      <c r="B26" s="110">
        <v>3</v>
      </c>
      <c r="C26" s="110">
        <v>2019</v>
      </c>
      <c r="D26" s="111">
        <v>2932.2159330357158</v>
      </c>
      <c r="E26" s="111">
        <v>3112.9213421250001</v>
      </c>
      <c r="F26" s="111">
        <v>2487.2054740349995</v>
      </c>
      <c r="G26" s="124">
        <f>(E26-F26)/(2*D26)</f>
        <v>0.10669675807985235</v>
      </c>
      <c r="I26" s="112">
        <v>3</v>
      </c>
      <c r="J26" s="110">
        <v>2019</v>
      </c>
      <c r="K26" s="111">
        <v>2932.2159330357158</v>
      </c>
      <c r="L26" s="124">
        <f>G26</f>
        <v>0.10669675807985235</v>
      </c>
      <c r="M26" s="124">
        <v>0.15</v>
      </c>
      <c r="N26" s="111">
        <v>0</v>
      </c>
      <c r="P26" s="110">
        <v>3</v>
      </c>
      <c r="Q26" s="110">
        <v>2019</v>
      </c>
      <c r="R26" s="111">
        <v>2932.2159330357158</v>
      </c>
      <c r="S26" s="111">
        <v>0</v>
      </c>
      <c r="T26" s="111">
        <f>R26-S26</f>
        <v>2932.2159330357158</v>
      </c>
    </row>
    <row r="27" spans="2:21">
      <c r="B27" s="110">
        <v>4</v>
      </c>
      <c r="C27" s="110">
        <v>2020</v>
      </c>
      <c r="D27" s="111">
        <v>2975.7949139285702</v>
      </c>
      <c r="E27" s="111">
        <v>3210.3983428650008</v>
      </c>
      <c r="F27" s="111">
        <v>2507.3621662950009</v>
      </c>
      <c r="G27" s="124">
        <f t="shared" ref="G27:G29" si="17">(E27-F27)/(2*D27)</f>
        <v>0.11812577763328944</v>
      </c>
      <c r="I27" s="112">
        <v>4</v>
      </c>
      <c r="J27" s="110">
        <v>2020</v>
      </c>
      <c r="K27" s="111">
        <v>2975.7949139285702</v>
      </c>
      <c r="L27" s="124">
        <f t="shared" ref="L27:L29" si="18">G27</f>
        <v>0.11812577763328944</v>
      </c>
      <c r="M27" s="124">
        <v>0.15</v>
      </c>
      <c r="N27" s="111">
        <v>0</v>
      </c>
      <c r="P27" s="110">
        <v>4</v>
      </c>
      <c r="Q27" s="110">
        <v>2020</v>
      </c>
      <c r="R27" s="111">
        <v>2975.7949139285702</v>
      </c>
      <c r="S27" s="111">
        <v>0</v>
      </c>
      <c r="T27" s="111">
        <f t="shared" ref="T27:T28" si="19">R27-S27</f>
        <v>2975.7949139285702</v>
      </c>
    </row>
    <row r="28" spans="2:21">
      <c r="B28" s="110">
        <v>5</v>
      </c>
      <c r="C28" s="110">
        <v>2021</v>
      </c>
      <c r="D28" s="111">
        <v>3086.6314585267864</v>
      </c>
      <c r="E28" s="111">
        <v>3340.9558456499985</v>
      </c>
      <c r="F28" s="111">
        <v>2586.2403263850001</v>
      </c>
      <c r="G28" s="124">
        <f t="shared" si="17"/>
        <v>0.12225552830094193</v>
      </c>
      <c r="I28" s="112">
        <v>5</v>
      </c>
      <c r="J28" s="110">
        <v>2021</v>
      </c>
      <c r="K28" s="111">
        <v>3086.6314585267864</v>
      </c>
      <c r="L28" s="124">
        <f t="shared" si="18"/>
        <v>0.12225552830094193</v>
      </c>
      <c r="M28" s="124">
        <v>0.15</v>
      </c>
      <c r="N28" s="111">
        <v>0</v>
      </c>
      <c r="P28" s="110">
        <v>5</v>
      </c>
      <c r="Q28" s="110">
        <v>2021</v>
      </c>
      <c r="R28" s="111">
        <v>3086.6314585267864</v>
      </c>
      <c r="S28" s="111">
        <v>0</v>
      </c>
      <c r="T28" s="111">
        <f t="shared" si="19"/>
        <v>3086.6314585267864</v>
      </c>
    </row>
    <row r="29" spans="2:21">
      <c r="B29" s="110">
        <v>6</v>
      </c>
      <c r="C29" s="110" t="s">
        <v>95</v>
      </c>
      <c r="D29" s="111">
        <v>3360.8273045089272</v>
      </c>
      <c r="E29" s="111">
        <v>3775.4692732800008</v>
      </c>
      <c r="F29" s="111">
        <v>2788.867011984999</v>
      </c>
      <c r="G29" s="124">
        <f t="shared" si="17"/>
        <v>0.14677967236986025</v>
      </c>
      <c r="I29" s="112">
        <v>6</v>
      </c>
      <c r="J29" s="110" t="s">
        <v>95</v>
      </c>
      <c r="K29" s="111">
        <v>3360.8273045089272</v>
      </c>
      <c r="L29" s="124">
        <f t="shared" si="18"/>
        <v>0.14677967236986025</v>
      </c>
      <c r="M29" s="124">
        <v>0.15</v>
      </c>
      <c r="N29" s="111">
        <v>0</v>
      </c>
      <c r="P29" s="110">
        <v>6</v>
      </c>
      <c r="Q29" s="110" t="s">
        <v>95</v>
      </c>
      <c r="R29" s="111">
        <v>3360.8273045089272</v>
      </c>
      <c r="S29" s="111">
        <v>0</v>
      </c>
      <c r="T29" s="111">
        <f>R29-S29</f>
        <v>3360.8273045089272</v>
      </c>
    </row>
    <row r="30" spans="2:21">
      <c r="D30" s="49"/>
      <c r="I30" s="115"/>
      <c r="J30" s="121" t="s">
        <v>23</v>
      </c>
      <c r="K30" s="122">
        <f t="shared" ref="K30" si="20">SUM(K24,K25:K29)</f>
        <v>12355.46961</v>
      </c>
      <c r="L30" s="118"/>
      <c r="M30" s="122"/>
      <c r="N30" s="122">
        <f t="shared" ref="N30" si="21">SUM(N24,N25:N29)</f>
        <v>0</v>
      </c>
      <c r="P30" s="115"/>
      <c r="Q30" s="121" t="s">
        <v>23</v>
      </c>
      <c r="R30" s="122">
        <f t="shared" ref="R30:T30" si="22">SUM(R24,R25:R29)</f>
        <v>12355.46961</v>
      </c>
      <c r="S30" s="122">
        <f t="shared" si="22"/>
        <v>0</v>
      </c>
      <c r="T30" s="122">
        <f t="shared" si="22"/>
        <v>12355.46961</v>
      </c>
    </row>
  </sheetData>
  <mergeCells count="12">
    <mergeCell ref="P2:T2"/>
    <mergeCell ref="P12:T12"/>
    <mergeCell ref="P22:T22"/>
    <mergeCell ref="P1:T1"/>
    <mergeCell ref="B22:G22"/>
    <mergeCell ref="I22:N22"/>
    <mergeCell ref="B1:G1"/>
    <mergeCell ref="I1:N1"/>
    <mergeCell ref="B2:G2"/>
    <mergeCell ref="I2:N2"/>
    <mergeCell ref="B12:G12"/>
    <mergeCell ref="I12:N12"/>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20" ma:contentTypeDescription="Create a new document." ma:contentTypeScope="" ma:versionID="9e18534efbc34e29d02778a0d3cfee90">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a3eecd65bcd0541bc8e6612c462a50ff"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99246-33B1-4126-B42E-2AA8077BAD19}"/>
</file>

<file path=customXml/itemProps2.xml><?xml version="1.0" encoding="utf-8"?>
<ds:datastoreItem xmlns:ds="http://schemas.openxmlformats.org/officeDocument/2006/customXml" ds:itemID="{F558DF8B-6FD9-43D5-909B-3874A0042BCA}"/>
</file>

<file path=customXml/itemProps3.xml><?xml version="1.0" encoding="utf-8"?>
<ds:datastoreItem xmlns:ds="http://schemas.openxmlformats.org/officeDocument/2006/customXml" ds:itemID="{10CC67E6-4C29-4FFE-BA9A-773ACCAD0705}"/>
</file>

<file path=docProps/app.xml><?xml version="1.0" encoding="utf-8"?>
<Properties xmlns="http://schemas.openxmlformats.org/officeDocument/2006/extended-properties" xmlns:vt="http://schemas.openxmlformats.org/officeDocument/2006/docPropsVTypes">
  <Application>Microsoft Excel Online</Application>
  <Manager>KMS</Manager>
  <Company>KMS PVT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3115 EX-ante &amp; EX-post</dc:title>
  <dc:subject/>
  <dc:creator>consulting4@kms-group.com</dc:creator>
  <cp:keywords>KMS PVT LTD</cp:keywords>
  <dc:description/>
  <cp:lastModifiedBy>Milena Agudelo Palacio</cp:lastModifiedBy>
  <cp:revision/>
  <dcterms:created xsi:type="dcterms:W3CDTF">2025-04-03T07:10:27Z</dcterms:created>
  <dcterms:modified xsi:type="dcterms:W3CDTF">2025-09-26T04:05:35Z</dcterms:modified>
  <cp:category>Karnataka agriculture project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ies>
</file>